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285" windowWidth="15480" windowHeight="7650" tabRatio="764" firstSheet="4" activeTab="7"/>
  </bookViews>
  <sheets>
    <sheet name="METAS ANUAIS PARA A RECEITA" sheetId="1" r:id="rId1"/>
    <sheet name="EVOLUÇÃO DA RECEITA" sheetId="2" r:id="rId2"/>
    <sheet name="VARIAÇÃO DA RECEITA" sheetId="3" r:id="rId3"/>
    <sheet name="RECEITA CORRENTE LÍQUIDA" sheetId="4" r:id="rId4"/>
    <sheet name="METAS ANUAIS DE DESPESA" sheetId="5" r:id="rId5"/>
    <sheet name="VARIAÇÃO DA DESPESA" sheetId="6" r:id="rId6"/>
    <sheet name="META DO RESULTADO PRIMÁRIO" sheetId="7" r:id="rId7"/>
    <sheet name="META DO RESULTADO NOMINAL" sheetId="8" r:id="rId8"/>
    <sheet name="MONTANTE DA DÍVIDA PÚBLICA" sheetId="9" r:id="rId9"/>
  </sheets>
  <definedNames>
    <definedName name="Excel_BuiltIn_Print_Titles_7_1">'META DO RESULTADO PRIMÁRIO'!$A$1:$IU$10</definedName>
    <definedName name="Excel_BuiltIn_Print_Titles_7_1_1">'META DO RESULTADO PRIMÁRIO'!$A$10:$IU$10</definedName>
    <definedName name="_xlnm.Print_Titles" localSheetId="6">'META DO RESULTADO PRIMÁRIO'!$1:$1</definedName>
  </definedNames>
  <calcPr fullCalcOnLoad="1"/>
</workbook>
</file>

<file path=xl/sharedStrings.xml><?xml version="1.0" encoding="utf-8"?>
<sst xmlns="http://schemas.openxmlformats.org/spreadsheetml/2006/main" count="322" uniqueCount="189">
  <si>
    <t>PREVISÃO</t>
  </si>
  <si>
    <t>RECEITAS CORRENTES (I)</t>
  </si>
  <si>
    <t xml:space="preserve">  Receitas Tributárias</t>
  </si>
  <si>
    <t xml:space="preserve">       IPTU        </t>
  </si>
  <si>
    <t xml:space="preserve">       ISS</t>
  </si>
  <si>
    <t xml:space="preserve">       ITBI</t>
  </si>
  <si>
    <t xml:space="preserve">       Outras Receitas Tributárias</t>
  </si>
  <si>
    <t xml:space="preserve">  Receitas de Contribuições</t>
  </si>
  <si>
    <t xml:space="preserve">  Receita Patrimonial</t>
  </si>
  <si>
    <t xml:space="preserve">  Receita Agropecuária</t>
  </si>
  <si>
    <t xml:space="preserve">  Receita de Serviços</t>
  </si>
  <si>
    <t xml:space="preserve">  Transferências Correntes</t>
  </si>
  <si>
    <t xml:space="preserve">       Cota-Parte do FPM</t>
  </si>
  <si>
    <t xml:space="preserve">       Cota-Parte do ICMS</t>
  </si>
  <si>
    <t xml:space="preserve">       Cota-Parte IPVA</t>
  </si>
  <si>
    <t xml:space="preserve">       Transferências do FUNDEB</t>
  </si>
  <si>
    <t xml:space="preserve">       Outras Transferência Corrente</t>
  </si>
  <si>
    <t xml:space="preserve">  Outras Receitas Correntes</t>
  </si>
  <si>
    <t>RECEITAS DE CAPITAL (II)</t>
  </si>
  <si>
    <t xml:space="preserve">  Operações de Crédito</t>
  </si>
  <si>
    <t xml:space="preserve">  Amortizações de Empréstimos</t>
  </si>
  <si>
    <t xml:space="preserve">  Alienações de Bens</t>
  </si>
  <si>
    <t>PRONTO</t>
  </si>
  <si>
    <t>NOTA:</t>
  </si>
  <si>
    <t>A projeção da receita observou a metodologia constante na Memória de Cálculo Descritiva.</t>
  </si>
  <si>
    <t>FONTES DE RECEITA</t>
  </si>
  <si>
    <t>EVOLUÇÃO DA RECEITA</t>
  </si>
  <si>
    <t>PROJEÇÃO DA RECEITA</t>
  </si>
  <si>
    <t>RECEITAS CORRENTES</t>
  </si>
  <si>
    <t>RECEITA TRIBUTÁRIA</t>
  </si>
  <si>
    <t>RECEITA DE CONTRIBUIÇÕES</t>
  </si>
  <si>
    <t>RECEITA PATRIMONIAL</t>
  </si>
  <si>
    <t>RECEITA AGROPECUÁRIA</t>
  </si>
  <si>
    <t>RECEITA DE SERVIÇOS</t>
  </si>
  <si>
    <t>TRANSFERÊNCIAS CORRENTES</t>
  </si>
  <si>
    <t>OUTRAS RECEITAS CORRENTES</t>
  </si>
  <si>
    <t>RECEITA DE CAPITAL</t>
  </si>
  <si>
    <t>OPERAÇÕES DE CRÉDITO</t>
  </si>
  <si>
    <t>ALIENAÇÃO DE BENS</t>
  </si>
  <si>
    <t>AMORT EMPRÉST CONCEDIDOS</t>
  </si>
  <si>
    <t>TRANSFERÊNCIAS DE CAPITAL</t>
  </si>
  <si>
    <t>OUTRAS RECEITAS DE CAPITAL</t>
  </si>
  <si>
    <t>TOTAL</t>
  </si>
  <si>
    <t>NOTAS:</t>
  </si>
  <si>
    <t>1. A Evolução da Receita foi elaborada com base na receita arrecadada nos períodos.</t>
  </si>
  <si>
    <t>2. A projeção da receita observou a metodologia constante na Memória de Cálculo Descritiva.</t>
  </si>
  <si>
    <t>Receita Tributária</t>
  </si>
  <si>
    <t>METAS ANUAIS</t>
  </si>
  <si>
    <t>VALOR NOMINAL</t>
  </si>
  <si>
    <t>VARIAÇÃO</t>
  </si>
  <si>
    <t>-</t>
  </si>
  <si>
    <t>Receita de Contribuições</t>
  </si>
  <si>
    <t>Receita Patrimonial</t>
  </si>
  <si>
    <t>Transferências Correntes</t>
  </si>
  <si>
    <t>Outras Receitas Correntes</t>
  </si>
  <si>
    <t>Operações de Crédito</t>
  </si>
  <si>
    <t>Amortização de Empréstimos</t>
  </si>
  <si>
    <t>Alienação de Bens</t>
  </si>
  <si>
    <t>ESPECIFICAÇÃO</t>
  </si>
  <si>
    <t>VALOR</t>
  </si>
  <si>
    <t xml:space="preserve">  Receita Tributária</t>
  </si>
  <si>
    <t xml:space="preserve">       IPTU</t>
  </si>
  <si>
    <t xml:space="preserve">  Receita  de Contribuições</t>
  </si>
  <si>
    <t xml:space="preserve">  Receita Serviços</t>
  </si>
  <si>
    <t xml:space="preserve">       Cota-Parte do IPVA</t>
  </si>
  <si>
    <t xml:space="preserve">       Outras Transferências Correntes</t>
  </si>
  <si>
    <t>DEDUÇÕES (II)</t>
  </si>
  <si>
    <t xml:space="preserve">  Contribuições de  Empregadores e Trabalhadores  para Seguridade. Social</t>
  </si>
  <si>
    <t xml:space="preserve">       - Servidor</t>
  </si>
  <si>
    <t xml:space="preserve">  Outras Receitas Diretamente Arrecadadas pelo RPPS</t>
  </si>
  <si>
    <t xml:space="preserve">  Compensação Financeira  entre Regimes Previdência</t>
  </si>
  <si>
    <t xml:space="preserve">  Dedução de Receita para Formação do FUNDEB</t>
  </si>
  <si>
    <t>RECEITA CORRENTE LÍQUIDA (I-II)</t>
  </si>
  <si>
    <t>IRRF deduzido das Receitas Tributárias conforme Parecer Coletivo de Auditoria nº 02/2002-TCE/RS</t>
  </si>
  <si>
    <t>CATEGORIA ECONÔMICA E GRUPO DE NATUREZA DE DESPESA</t>
  </si>
  <si>
    <t xml:space="preserve">       Pessoal e Encargos Sociais</t>
  </si>
  <si>
    <t xml:space="preserve">       Juros e Encargos da Dívida</t>
  </si>
  <si>
    <t xml:space="preserve">       Outras Despesas Correntes</t>
  </si>
  <si>
    <t xml:space="preserve">  DESPESAS DE CAPITAL (II)</t>
  </si>
  <si>
    <t xml:space="preserve">       Investimentos</t>
  </si>
  <si>
    <t xml:space="preserve">       Inversões Financeiras</t>
  </si>
  <si>
    <t xml:space="preserve">       Amortização da Dívida</t>
  </si>
  <si>
    <t xml:space="preserve">  RESERVA DE CONTINGÊNCIA(III)</t>
  </si>
  <si>
    <t>TOTAL DA DESPESA (I+II+III)</t>
  </si>
  <si>
    <t xml:space="preserve"> A projeção da despesa observou a metodologia constante na Demonstrativo da Variação da Despesa.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</si>
  <si>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</si>
  <si>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</si>
  <si>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</si>
  <si>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</si>
  <si>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</si>
  <si>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</si>
  <si>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de Contingência</t>
  </si>
  <si>
    <t>RECEITAS CORRENTES ( I )</t>
  </si>
  <si>
    <t xml:space="preserve">  Receita de Contribuição </t>
  </si>
  <si>
    <t xml:space="preserve">       Receita Previdenciária</t>
  </si>
  <si>
    <t xml:space="preserve">       Outras Contribuições</t>
  </si>
  <si>
    <t xml:space="preserve">  Receita Patrimonial Líquida</t>
  </si>
  <si>
    <t xml:space="preserve">       Receita Patrimonial</t>
  </si>
  <si>
    <t xml:space="preserve">       (-) Aplicações Financeiras</t>
  </si>
  <si>
    <t xml:space="preserve">  Demais Receitas Correntes</t>
  </si>
  <si>
    <t xml:space="preserve">      Dívida Ativa</t>
  </si>
  <si>
    <t xml:space="preserve">      Diversas Receita Correntes</t>
  </si>
  <si>
    <t>RECEITAS DE CAPITAL ( II )</t>
  </si>
  <si>
    <t>Operações de Crédito ( III )</t>
  </si>
  <si>
    <t>Amortização de Empréstimos ( IV)</t>
  </si>
  <si>
    <t>Alienação de Bens ( V )</t>
  </si>
  <si>
    <t>Transferência de Capital</t>
  </si>
  <si>
    <t xml:space="preserve">       Convênios</t>
  </si>
  <si>
    <t xml:space="preserve">       Outras Transferência de Capital</t>
  </si>
  <si>
    <t>Outras Receitas de Capital</t>
  </si>
  <si>
    <t>RECEITAS FISCAIS DE CAPITAL ( VI )=( II - III - IV - V )</t>
  </si>
  <si>
    <t>DESPESAS CORRENTES ( VIII )</t>
  </si>
  <si>
    <t xml:space="preserve">  Pessoal e Encargos Sociais</t>
  </si>
  <si>
    <t xml:space="preserve">  Juros e Encargos da Dívida ( IX )</t>
  </si>
  <si>
    <t xml:space="preserve">  Outras Despesas Correntes</t>
  </si>
  <si>
    <t>DESPESAS FISCAIS CORRENTES ( X ) = ( VIII – IX )</t>
  </si>
  <si>
    <t>DESPESAS DE CAPITAL ( XI )</t>
  </si>
  <si>
    <t xml:space="preserve">  Investimentos</t>
  </si>
  <si>
    <t xml:space="preserve">  Inversões Financeiras</t>
  </si>
  <si>
    <t xml:space="preserve">       Concessão de Empréstimos (XII)</t>
  </si>
  <si>
    <t xml:space="preserve">       Aquisição de Título de Capital  Integralizado (XIII)</t>
  </si>
  <si>
    <t xml:space="preserve">       Demais Inversões Financeiras</t>
  </si>
  <si>
    <t>Amortização da Dívida ( XIV )</t>
  </si>
  <si>
    <t>DESP. FISCAIS DE CAPITAL ( XV ) = ( XI – XII-XII-XIV )</t>
  </si>
  <si>
    <t>RESERVA DE CONTINGÊNCIA ( XVI )</t>
  </si>
  <si>
    <t>(b)</t>
  </si>
  <si>
    <r>
      <t>(c)</t>
    </r>
    <r>
      <rPr>
        <b/>
        <sz val="2"/>
        <rFont val="Arial"/>
        <family val="2"/>
      </rPr>
      <t>.</t>
    </r>
  </si>
  <si>
    <t>(d)</t>
  </si>
  <si>
    <t>(e)</t>
  </si>
  <si>
    <t>(f)</t>
  </si>
  <si>
    <t>(g)</t>
  </si>
  <si>
    <t>(h)</t>
  </si>
  <si>
    <t>DÍVIDA CONSOLIDADA (I)</t>
  </si>
  <si>
    <t>Ativo Disponível</t>
  </si>
  <si>
    <t>Haveres Financeiros</t>
  </si>
  <si>
    <t>( - ) Restos a Pagar Processados</t>
  </si>
  <si>
    <t xml:space="preserve">OBRIGAÇÕES NÃO-INTEGRANTES DA DC </t>
  </si>
  <si>
    <t>DÍVIDA CONSOLIDADA LÍQUIDA</t>
  </si>
  <si>
    <t>RECEITA DE PRIVATIZAÇÕES</t>
  </si>
  <si>
    <t>PASSIVOS RECONHECIDOS</t>
  </si>
  <si>
    <t>DÍVIDA FISCAL LÍQUIDA</t>
  </si>
  <si>
    <t>RESULTADO NOMINAL</t>
  </si>
  <si>
    <t>(b-a*)</t>
  </si>
  <si>
    <t>(c-b)</t>
  </si>
  <si>
    <t>(d-c)</t>
  </si>
  <si>
    <t>(e-d)</t>
  </si>
  <si>
    <t>(f-e)</t>
  </si>
  <si>
    <t>(g-f)</t>
  </si>
  <si>
    <t>(f-h)</t>
  </si>
  <si>
    <t>DÍVIDA CONSOLIDADA ( I )</t>
  </si>
  <si>
    <t>Dívida Mobiliária</t>
  </si>
  <si>
    <t>Outras Dívidas</t>
  </si>
  <si>
    <t>DEDUÇÕES ( II )</t>
  </si>
  <si>
    <t>( - ) Restos à Pagar Processados</t>
  </si>
  <si>
    <t>Insuficiência Financeira</t>
  </si>
  <si>
    <t>DCL (III ) = ( I – II )</t>
  </si>
  <si>
    <t>RECEITAS INTRA-ORÇAMENTÁRIAS</t>
  </si>
  <si>
    <t xml:space="preserve">  Remuneração dos investimentos do RPPS</t>
  </si>
  <si>
    <t>RECEITAS CORRENTES INTRAORÇAMENTÁRIAS (III)</t>
  </si>
  <si>
    <t>( - ) DEDUÇÃO PARA FORMAÇÃO DO FUNDEB (IV)</t>
  </si>
  <si>
    <t xml:space="preserve">  Transferências de Capital</t>
  </si>
  <si>
    <t xml:space="preserve">       Cota-Parte do ITR</t>
  </si>
  <si>
    <t xml:space="preserve">       Transferências da LC 87/1996</t>
  </si>
  <si>
    <t>FONTE: Superintendência de Gestão Orçamentária e Financeira - PMSM</t>
  </si>
  <si>
    <t xml:space="preserve">  DESPESAS CORRENTES (I)</t>
  </si>
  <si>
    <t>( - ) DEDUÇÃO DA RECEITA POR RENÚNCIA (V)</t>
  </si>
  <si>
    <t>RECEITA LÍQUIDA TOTAL (I+II+III-IV-V)</t>
  </si>
  <si>
    <t>DEDUÇÃO FUNDEB</t>
  </si>
  <si>
    <t xml:space="preserve">  Dedução da Receita por Renúncia</t>
  </si>
  <si>
    <t xml:space="preserve">  IRRF</t>
  </si>
  <si>
    <t xml:space="preserve">  Remuneração do Fundo de Assistência à Saúde</t>
  </si>
  <si>
    <t>3. Para os demais exercícios os valores dos encargos da dívida, foram apurados conforme a situação atual do Município.</t>
  </si>
  <si>
    <t>DEDUÇÃO RENÚNCIA DE RECEITA E OUTRAS</t>
  </si>
  <si>
    <t>4. Para os demais exercícios os valores foram apurados conforme a situação atual do Município.</t>
  </si>
  <si>
    <t>INSCRITAS EM RESTOS A PAGAR NÃO PROCESSADOS (XVII)</t>
  </si>
  <si>
    <t>DESPESAS PRIMÁRIAS ( XVIII ) = ( X + XV + XVI+XVII)</t>
  </si>
  <si>
    <t>RESULTADO PRIMÁRIO ( VII – XVIII )</t>
  </si>
  <si>
    <t>RECEITAS PRIMÁRIAS (VII)=(I+VI)</t>
  </si>
  <si>
    <t>1. Os valores nominais  de 2013, 2014 e 2015 são da despesa liquidada nos períodos.</t>
  </si>
  <si>
    <t>2. O valor nominal de 2016 é o previsto na LOA 2016.</t>
  </si>
  <si>
    <t>3. Para o cálculo do valor nominal dos anos de 2017 a 2019 foi aplicado o percentual de 8% sobre o montante do ano anterior.</t>
  </si>
  <si>
    <t>1. O valor nominal de 2013 foi extraído do valor constante no orçamento sendo R$ 8.200.000,00  do Município, R$ 50.000,00 da Câmara e R$ 9.225.000,00 do IPASSP-SM.</t>
  </si>
  <si>
    <t>2. O valor nominal de 2014 foi extraído do valor constante no orçamento sendo R$ 8.704.500,00  do Município, R$ 50.000,00 da Câmara e R$ 10.288.000 do IPASSP-SM.</t>
  </si>
  <si>
    <t>3. O valor nominal de 2015 foi extraído do valor constante no orçamento sendo R$ 10.000.000,00  do Município, R$ 50.000,00 da Câmara e R$ 28.673.000 do IPASSP-SM.</t>
  </si>
  <si>
    <t>4. O valor previsto na LOA 2016 para o Município foi de R$ 11.100.000,00; para a Câmara R$ 50.000,00 e R$ 18.897.700,00 para o IPASSP-SM.</t>
  </si>
  <si>
    <t>5. O valor em  2017 para o Município é R$ 12.000.000,00, para a Câmara R$ 50.000,00 e R$ 20.000.000,00  para o IPASSP-SM</t>
  </si>
  <si>
    <t>6. Os valores previstos para 2018 e 2019foram acrescidos de 8%.</t>
  </si>
  <si>
    <t>3. O valor nominal de 2017 é o previsto nesta LDO.</t>
  </si>
  <si>
    <t>2. Os valores nominais de 2016 a 2019 foram apurados conforme a situação atual do Município.</t>
  </si>
</sst>
</file>

<file path=xl/styles.xml><?xml version="1.0" encoding="utf-8"?>
<styleSheet xmlns="http://schemas.openxmlformats.org/spreadsheetml/2006/main">
  <numFmts count="1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#,##0.00;[Red]#,##0.00"/>
    <numFmt numFmtId="173" formatCode="_(* #,##0.00_);_(* \(#,##0.00\);_(* \-??_);_(@_)"/>
    <numFmt numFmtId="174" formatCode="0.0000%"/>
  </numFmts>
  <fonts count="4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72" fontId="0" fillId="0" borderId="0" applyFill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72" fontId="2" fillId="0" borderId="10" xfId="51" applyFont="1" applyFill="1" applyBorder="1" applyAlignment="1" applyProtection="1">
      <alignment horizontal="right"/>
      <protection/>
    </xf>
    <xf numFmtId="173" fontId="2" fillId="0" borderId="10" xfId="51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172" fontId="3" fillId="0" borderId="10" xfId="5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72" fontId="2" fillId="0" borderId="10" xfId="51" applyFont="1" applyFill="1" applyBorder="1" applyAlignment="1" applyProtection="1">
      <alignment horizontal="right"/>
      <protection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72" fontId="3" fillId="0" borderId="10" xfId="51" applyFont="1" applyFill="1" applyBorder="1" applyAlignment="1" applyProtection="1">
      <alignment horizontal="right"/>
      <protection/>
    </xf>
    <xf numFmtId="173" fontId="3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2" fillId="35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 wrapText="1"/>
    </xf>
    <xf numFmtId="4" fontId="0" fillId="0" borderId="0" xfId="0" applyNumberFormat="1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32" sqref="A32:F32"/>
    </sheetView>
  </sheetViews>
  <sheetFormatPr defaultColWidth="11.140625" defaultRowHeight="12.75"/>
  <cols>
    <col min="1" max="2" width="11.140625" style="1" customWidth="1"/>
    <col min="3" max="3" width="18.57421875" style="1" customWidth="1"/>
    <col min="4" max="4" width="13.7109375" style="1" customWidth="1"/>
    <col min="5" max="5" width="14.00390625" style="1" customWidth="1"/>
    <col min="6" max="6" width="15.00390625" style="1" customWidth="1"/>
    <col min="7" max="7" width="0" style="1" hidden="1" customWidth="1"/>
    <col min="8" max="8" width="15.8515625" style="1" customWidth="1"/>
    <col min="9" max="16384" width="11.140625" style="1" customWidth="1"/>
  </cols>
  <sheetData>
    <row r="1" spans="1:6" ht="18.75" customHeight="1">
      <c r="A1" s="86" t="s">
        <v>58</v>
      </c>
      <c r="B1" s="86"/>
      <c r="C1" s="86"/>
      <c r="D1" s="86" t="s">
        <v>0</v>
      </c>
      <c r="E1" s="86"/>
      <c r="F1" s="86"/>
    </row>
    <row r="2" spans="1:6" ht="15.75" customHeight="1">
      <c r="A2" s="86"/>
      <c r="B2" s="86"/>
      <c r="C2" s="86"/>
      <c r="D2" s="28">
        <v>2017</v>
      </c>
      <c r="E2" s="28">
        <v>2018</v>
      </c>
      <c r="F2" s="28">
        <v>2019</v>
      </c>
    </row>
    <row r="3" spans="1:6" s="2" customFormat="1" ht="12.75">
      <c r="A3" s="82" t="s">
        <v>1</v>
      </c>
      <c r="B3" s="82"/>
      <c r="C3" s="82"/>
      <c r="D3" s="30">
        <f>D4+D9+D10+D11+D12+D13+D19</f>
        <v>590800464</v>
      </c>
      <c r="E3" s="30">
        <f>E4+E9+E10+E11+E12+E13+E19</f>
        <v>638457096</v>
      </c>
      <c r="F3" s="30">
        <f>F4+F9+F10+F11+F12+F13+F19</f>
        <v>684709352.8</v>
      </c>
    </row>
    <row r="4" spans="1:6" ht="12.75">
      <c r="A4" s="81" t="s">
        <v>2</v>
      </c>
      <c r="B4" s="81"/>
      <c r="C4" s="81"/>
      <c r="D4" s="26">
        <f>SUM(D5:D8)</f>
        <v>163819386.5</v>
      </c>
      <c r="E4" s="26">
        <f>SUM(E5:E8)</f>
        <v>179039978.91</v>
      </c>
      <c r="F4" s="26">
        <f>SUM(F5:F8)</f>
        <v>195794821.04</v>
      </c>
    </row>
    <row r="5" spans="1:6" ht="12.75">
      <c r="A5" s="81" t="s">
        <v>3</v>
      </c>
      <c r="B5" s="81"/>
      <c r="C5" s="81"/>
      <c r="D5" s="26">
        <v>35382000</v>
      </c>
      <c r="E5" s="26">
        <v>38212500</v>
      </c>
      <c r="F5" s="26">
        <v>41269600</v>
      </c>
    </row>
    <row r="6" spans="1:6" ht="12.75">
      <c r="A6" s="81" t="s">
        <v>4</v>
      </c>
      <c r="B6" s="81"/>
      <c r="C6" s="81"/>
      <c r="D6" s="26">
        <v>66180500</v>
      </c>
      <c r="E6" s="26">
        <v>73619000</v>
      </c>
      <c r="F6" s="26">
        <v>81893800</v>
      </c>
    </row>
    <row r="7" spans="1:6" ht="12.75">
      <c r="A7" s="81" t="s">
        <v>5</v>
      </c>
      <c r="B7" s="81"/>
      <c r="C7" s="81"/>
      <c r="D7" s="26">
        <v>20435000</v>
      </c>
      <c r="E7" s="26">
        <v>22070000</v>
      </c>
      <c r="F7" s="26">
        <v>23835600</v>
      </c>
    </row>
    <row r="8" spans="1:6" ht="12.75">
      <c r="A8" s="81" t="s">
        <v>6</v>
      </c>
      <c r="B8" s="81"/>
      <c r="C8" s="81"/>
      <c r="D8" s="26">
        <v>41821886.5</v>
      </c>
      <c r="E8" s="26">
        <v>45138478.91</v>
      </c>
      <c r="F8" s="26">
        <v>48795821.04</v>
      </c>
    </row>
    <row r="9" spans="1:6" ht="12.75">
      <c r="A9" s="81" t="s">
        <v>7</v>
      </c>
      <c r="B9" s="81"/>
      <c r="C9" s="81"/>
      <c r="D9" s="26">
        <v>40398600</v>
      </c>
      <c r="E9" s="26">
        <v>43616800</v>
      </c>
      <c r="F9" s="26">
        <v>47112000</v>
      </c>
    </row>
    <row r="10" spans="1:6" ht="12.75">
      <c r="A10" s="81" t="s">
        <v>8</v>
      </c>
      <c r="B10" s="81"/>
      <c r="C10" s="81"/>
      <c r="D10" s="26">
        <v>23683500</v>
      </c>
      <c r="E10" s="26">
        <v>25395000</v>
      </c>
      <c r="F10" s="26">
        <v>27618400</v>
      </c>
    </row>
    <row r="11" spans="1:6" ht="12.75">
      <c r="A11" s="81" t="s">
        <v>9</v>
      </c>
      <c r="B11" s="81"/>
      <c r="C11" s="81"/>
      <c r="D11" s="26">
        <v>0</v>
      </c>
      <c r="E11" s="26">
        <v>0</v>
      </c>
      <c r="F11" s="26">
        <v>0</v>
      </c>
    </row>
    <row r="12" spans="1:6" ht="12.75">
      <c r="A12" s="81" t="s">
        <v>10</v>
      </c>
      <c r="B12" s="81"/>
      <c r="C12" s="81"/>
      <c r="D12" s="26">
        <v>2592000</v>
      </c>
      <c r="E12" s="26">
        <v>2800000</v>
      </c>
      <c r="F12" s="26">
        <v>3024000</v>
      </c>
    </row>
    <row r="13" spans="1:6" ht="12.75">
      <c r="A13" s="81" t="s">
        <v>11</v>
      </c>
      <c r="B13" s="81"/>
      <c r="C13" s="81"/>
      <c r="D13" s="26">
        <f>SUM(D14:D18)</f>
        <v>329893977.5</v>
      </c>
      <c r="E13" s="26">
        <f>SUM(E14:E18)</f>
        <v>354797517.09000003</v>
      </c>
      <c r="F13" s="26">
        <f>SUM(F14:F18)</f>
        <v>375728231.76</v>
      </c>
    </row>
    <row r="14" spans="1:6" ht="12.75">
      <c r="A14" s="81" t="s">
        <v>12</v>
      </c>
      <c r="B14" s="81"/>
      <c r="C14" s="81"/>
      <c r="D14" s="26">
        <v>63919200</v>
      </c>
      <c r="E14" s="26">
        <v>69033200</v>
      </c>
      <c r="F14" s="26">
        <v>74557000</v>
      </c>
    </row>
    <row r="15" spans="1:6" ht="12.75">
      <c r="A15" s="81" t="s">
        <v>13</v>
      </c>
      <c r="B15" s="81"/>
      <c r="C15" s="81"/>
      <c r="D15" s="26">
        <v>97380000</v>
      </c>
      <c r="E15" s="26">
        <v>105170000</v>
      </c>
      <c r="F15" s="26">
        <v>113584000</v>
      </c>
    </row>
    <row r="16" spans="1:6" ht="12.75">
      <c r="A16" s="81" t="s">
        <v>14</v>
      </c>
      <c r="B16" s="81"/>
      <c r="C16" s="81"/>
      <c r="D16" s="26">
        <v>44046000</v>
      </c>
      <c r="E16" s="26">
        <v>48997000</v>
      </c>
      <c r="F16" s="26">
        <v>54504000</v>
      </c>
    </row>
    <row r="17" spans="1:6" ht="12.75">
      <c r="A17" s="81" t="s">
        <v>15</v>
      </c>
      <c r="B17" s="81"/>
      <c r="C17" s="81"/>
      <c r="D17" s="26">
        <v>81900000</v>
      </c>
      <c r="E17" s="26">
        <v>87258000</v>
      </c>
      <c r="F17" s="26">
        <v>87258000</v>
      </c>
    </row>
    <row r="18" spans="1:6" ht="12.75">
      <c r="A18" s="81" t="s">
        <v>16</v>
      </c>
      <c r="B18" s="81"/>
      <c r="C18" s="81"/>
      <c r="D18" s="26">
        <v>42648777.5</v>
      </c>
      <c r="E18" s="26">
        <v>44339317.09</v>
      </c>
      <c r="F18" s="26">
        <v>45825231.76</v>
      </c>
    </row>
    <row r="19" spans="1:6" ht="12.75">
      <c r="A19" s="81" t="s">
        <v>17</v>
      </c>
      <c r="B19" s="81"/>
      <c r="C19" s="81"/>
      <c r="D19" s="26">
        <v>30413000</v>
      </c>
      <c r="E19" s="26">
        <v>32807800</v>
      </c>
      <c r="F19" s="26">
        <v>35431900</v>
      </c>
    </row>
    <row r="20" spans="1:6" s="2" customFormat="1" ht="12.75">
      <c r="A20" s="82" t="s">
        <v>18</v>
      </c>
      <c r="B20" s="82"/>
      <c r="C20" s="82"/>
      <c r="D20" s="30">
        <f>D21+D23+D22+D24</f>
        <v>15797000</v>
      </c>
      <c r="E20" s="30">
        <f>E21+E23+E22</f>
        <v>2140000</v>
      </c>
      <c r="F20" s="30">
        <f>F21+F23+F22</f>
        <v>2243000</v>
      </c>
    </row>
    <row r="21" spans="1:6" ht="12.75">
      <c r="A21" s="81" t="s">
        <v>19</v>
      </c>
      <c r="B21" s="81"/>
      <c r="C21" s="81"/>
      <c r="D21" s="26">
        <v>1760000</v>
      </c>
      <c r="E21" s="26">
        <v>0</v>
      </c>
      <c r="F21" s="26">
        <v>0</v>
      </c>
    </row>
    <row r="22" spans="1:6" ht="12.75">
      <c r="A22" s="81" t="s">
        <v>21</v>
      </c>
      <c r="B22" s="81"/>
      <c r="C22" s="81"/>
      <c r="D22" s="26">
        <v>2000000</v>
      </c>
      <c r="E22" s="26">
        <v>2100000</v>
      </c>
      <c r="F22" s="26">
        <v>2200000</v>
      </c>
    </row>
    <row r="23" spans="1:6" ht="12.75">
      <c r="A23" s="81" t="s">
        <v>20</v>
      </c>
      <c r="B23" s="81"/>
      <c r="C23" s="81"/>
      <c r="D23" s="26">
        <v>37000</v>
      </c>
      <c r="E23" s="26">
        <v>40000</v>
      </c>
      <c r="F23" s="26">
        <v>43000</v>
      </c>
    </row>
    <row r="24" spans="1:6" ht="12.75">
      <c r="A24" s="81" t="s">
        <v>160</v>
      </c>
      <c r="B24" s="81"/>
      <c r="C24" s="81"/>
      <c r="D24" s="26">
        <v>12000000</v>
      </c>
      <c r="E24" s="26">
        <v>0</v>
      </c>
      <c r="F24" s="26">
        <v>0</v>
      </c>
    </row>
    <row r="25" spans="1:6" ht="12.75">
      <c r="A25" s="82" t="s">
        <v>158</v>
      </c>
      <c r="B25" s="82"/>
      <c r="C25" s="82"/>
      <c r="D25" s="26">
        <v>66122700</v>
      </c>
      <c r="E25" s="26">
        <v>72051000</v>
      </c>
      <c r="F25" s="26">
        <v>77755500</v>
      </c>
    </row>
    <row r="26" spans="1:6" ht="12.75">
      <c r="A26" s="82" t="s">
        <v>159</v>
      </c>
      <c r="B26" s="82"/>
      <c r="C26" s="82"/>
      <c r="D26" s="26">
        <v>41680164</v>
      </c>
      <c r="E26" s="26">
        <v>45300096</v>
      </c>
      <c r="F26" s="26">
        <v>49241852.8</v>
      </c>
    </row>
    <row r="27" spans="1:6" ht="12.75">
      <c r="A27" s="83" t="s">
        <v>165</v>
      </c>
      <c r="B27" s="84"/>
      <c r="C27" s="85"/>
      <c r="D27" s="26">
        <v>11040000</v>
      </c>
      <c r="E27" s="26">
        <v>11848000</v>
      </c>
      <c r="F27" s="26">
        <v>12666000</v>
      </c>
    </row>
    <row r="28" spans="1:7" s="3" customFormat="1" ht="12.75">
      <c r="A28" s="82" t="s">
        <v>166</v>
      </c>
      <c r="B28" s="82"/>
      <c r="C28" s="82"/>
      <c r="D28" s="30">
        <f>D3+D20+D25-D26-D27</f>
        <v>620000000</v>
      </c>
      <c r="E28" s="30">
        <f>E3+E20+E25-E26-E27</f>
        <v>655500000</v>
      </c>
      <c r="F28" s="30">
        <f>F3+F20+F25-F26-F27</f>
        <v>702800000</v>
      </c>
      <c r="G28" s="3" t="s">
        <v>22</v>
      </c>
    </row>
    <row r="29" spans="1:6" ht="12.75">
      <c r="A29" s="80" t="s">
        <v>163</v>
      </c>
      <c r="B29" s="80"/>
      <c r="C29" s="80"/>
      <c r="D29" s="80"/>
      <c r="E29" s="80"/>
      <c r="F29" s="80"/>
    </row>
    <row r="31" ht="12.75">
      <c r="A31" s="5" t="s">
        <v>23</v>
      </c>
    </row>
    <row r="32" spans="1:6" ht="12.75">
      <c r="A32" s="80" t="s">
        <v>24</v>
      </c>
      <c r="B32" s="80"/>
      <c r="C32" s="80"/>
      <c r="D32" s="80"/>
      <c r="E32" s="80"/>
      <c r="F32" s="80"/>
    </row>
  </sheetData>
  <sheetProtection/>
  <mergeCells count="30">
    <mergeCell ref="A8:C8"/>
    <mergeCell ref="A9:C9"/>
    <mergeCell ref="D1:F1"/>
    <mergeCell ref="A3:C3"/>
    <mergeCell ref="A4:C4"/>
    <mergeCell ref="A5:C5"/>
    <mergeCell ref="A1:C2"/>
    <mergeCell ref="A12:C12"/>
    <mergeCell ref="A10:C10"/>
    <mergeCell ref="A11:C11"/>
    <mergeCell ref="A6:C6"/>
    <mergeCell ref="A7:C7"/>
    <mergeCell ref="A29:F29"/>
    <mergeCell ref="A16:C16"/>
    <mergeCell ref="A17:C17"/>
    <mergeCell ref="A18:C18"/>
    <mergeCell ref="A27:C27"/>
    <mergeCell ref="A13:C13"/>
    <mergeCell ref="A14:C14"/>
    <mergeCell ref="A15:C15"/>
    <mergeCell ref="A32:F32"/>
    <mergeCell ref="A19:C19"/>
    <mergeCell ref="A20:C20"/>
    <mergeCell ref="A21:C21"/>
    <mergeCell ref="A23:C23"/>
    <mergeCell ref="A22:C22"/>
    <mergeCell ref="A24:C24"/>
    <mergeCell ref="A28:C28"/>
    <mergeCell ref="A26:C26"/>
    <mergeCell ref="A25:C25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&amp;CMEMÓRIA E METODOLOGIA I      
Prefeitura Municipal de Santa Maria     
Lei de Diretrizes Orçamentárias     
Memória e Metodologia de Cálculo     
METAS ANUAIS PARA A RECEITA     
2017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workbookViewId="0" topLeftCell="A1">
      <selection activeCell="D13" sqref="D13"/>
    </sheetView>
  </sheetViews>
  <sheetFormatPr defaultColWidth="8.57421875" defaultRowHeight="12.75"/>
  <cols>
    <col min="1" max="1" width="37.7109375" style="6" customWidth="1"/>
    <col min="2" max="3" width="12.57421875" style="7" customWidth="1"/>
    <col min="4" max="4" width="12.57421875" style="8" customWidth="1"/>
    <col min="5" max="6" width="12.57421875" style="7" customWidth="1"/>
    <col min="7" max="7" width="12.57421875" style="9" customWidth="1"/>
    <col min="8" max="8" width="12.57421875" style="10" customWidth="1"/>
    <col min="9" max="252" width="8.57421875" style="10" customWidth="1"/>
    <col min="253" max="254" width="8.57421875" style="7" customWidth="1"/>
    <col min="255" max="16384" width="8.57421875" style="10" customWidth="1"/>
  </cols>
  <sheetData>
    <row r="1" spans="1:255" s="4" customFormat="1" ht="12.75">
      <c r="A1" s="88" t="s">
        <v>25</v>
      </c>
      <c r="B1" s="89" t="s">
        <v>26</v>
      </c>
      <c r="C1" s="89"/>
      <c r="D1" s="89"/>
      <c r="E1" s="89" t="s">
        <v>27</v>
      </c>
      <c r="F1" s="89"/>
      <c r="G1" s="89"/>
      <c r="H1" s="89"/>
      <c r="IS1" s="11"/>
      <c r="IT1" s="11"/>
      <c r="IU1" s="10"/>
    </row>
    <row r="2" spans="1:255" s="4" customFormat="1" ht="12.75">
      <c r="A2" s="88"/>
      <c r="B2" s="89"/>
      <c r="C2" s="89"/>
      <c r="D2" s="89"/>
      <c r="E2" s="89"/>
      <c r="F2" s="89"/>
      <c r="G2" s="89"/>
      <c r="H2" s="89"/>
      <c r="IS2" s="11"/>
      <c r="IT2" s="11"/>
      <c r="IU2" s="10"/>
    </row>
    <row r="3" spans="1:255" s="4" customFormat="1" ht="12.75">
      <c r="A3" s="88"/>
      <c r="B3" s="89"/>
      <c r="C3" s="89"/>
      <c r="D3" s="89"/>
      <c r="E3" s="89"/>
      <c r="F3" s="89"/>
      <c r="G3" s="89"/>
      <c r="H3" s="89"/>
      <c r="IS3" s="11"/>
      <c r="IT3" s="11"/>
      <c r="IU3" s="10"/>
    </row>
    <row r="4" spans="1:255" s="12" customFormat="1" ht="12.75">
      <c r="A4" s="88"/>
      <c r="B4" s="32">
        <v>2013</v>
      </c>
      <c r="C4" s="32">
        <v>2014</v>
      </c>
      <c r="D4" s="32">
        <v>2015</v>
      </c>
      <c r="E4" s="32">
        <v>2016</v>
      </c>
      <c r="F4" s="33">
        <v>2017</v>
      </c>
      <c r="G4" s="32">
        <v>2018</v>
      </c>
      <c r="H4" s="32">
        <v>2019</v>
      </c>
      <c r="IT4" s="11"/>
      <c r="IU4" s="10"/>
    </row>
    <row r="5" spans="1:255" s="12" customFormat="1" ht="12.75">
      <c r="A5" s="34" t="s">
        <v>28</v>
      </c>
      <c r="B5" s="35">
        <f aca="true" t="shared" si="0" ref="B5:H5">SUM(B6:B12)</f>
        <v>479663839.53000003</v>
      </c>
      <c r="C5" s="35">
        <f t="shared" si="0"/>
        <v>517197286.1</v>
      </c>
      <c r="D5" s="35">
        <f t="shared" si="0"/>
        <v>534057420.61</v>
      </c>
      <c r="E5" s="35">
        <f t="shared" si="0"/>
        <v>550709178.94</v>
      </c>
      <c r="F5" s="35">
        <f t="shared" si="0"/>
        <v>590800464</v>
      </c>
      <c r="G5" s="36">
        <f t="shared" si="0"/>
        <v>638457096</v>
      </c>
      <c r="H5" s="36">
        <f t="shared" si="0"/>
        <v>684709352.8</v>
      </c>
      <c r="IT5" s="11"/>
      <c r="IU5" s="10"/>
    </row>
    <row r="6" spans="1:255" s="4" customFormat="1" ht="12.75">
      <c r="A6" s="37" t="s">
        <v>29</v>
      </c>
      <c r="B6" s="38">
        <v>111594794.41</v>
      </c>
      <c r="C6" s="38">
        <v>128854554.91</v>
      </c>
      <c r="D6" s="38">
        <v>137203095.87</v>
      </c>
      <c r="E6" s="38">
        <v>149941605.48</v>
      </c>
      <c r="F6" s="39">
        <f>'METAS ANUAIS PARA A RECEITA'!D4</f>
        <v>163819386.5</v>
      </c>
      <c r="G6" s="39">
        <f>'METAS ANUAIS PARA A RECEITA'!E4</f>
        <v>179039978.91</v>
      </c>
      <c r="H6" s="39">
        <f>'METAS ANUAIS PARA A RECEITA'!F4</f>
        <v>195794821.04</v>
      </c>
      <c r="IS6" s="11"/>
      <c r="IT6" s="11"/>
      <c r="IU6" s="10"/>
    </row>
    <row r="7" spans="1:255" s="4" customFormat="1" ht="12.75">
      <c r="A7" s="37" t="s">
        <v>30</v>
      </c>
      <c r="B7" s="38">
        <v>29134172.9</v>
      </c>
      <c r="C7" s="38">
        <v>30726359.46</v>
      </c>
      <c r="D7" s="38">
        <v>35699720.05</v>
      </c>
      <c r="E7" s="38">
        <v>37408000</v>
      </c>
      <c r="F7" s="39">
        <f>'METAS ANUAIS PARA A RECEITA'!D9</f>
        <v>40398600</v>
      </c>
      <c r="G7" s="39">
        <f>'METAS ANUAIS PARA A RECEITA'!E9</f>
        <v>43616800</v>
      </c>
      <c r="H7" s="39">
        <f>'METAS ANUAIS PARA A RECEITA'!F9</f>
        <v>47112000</v>
      </c>
      <c r="IS7" s="11"/>
      <c r="IT7" s="11"/>
      <c r="IU7" s="10"/>
    </row>
    <row r="8" spans="1:255" s="4" customFormat="1" ht="12.75">
      <c r="A8" s="37" t="s">
        <v>31</v>
      </c>
      <c r="B8" s="44">
        <v>43785231.38</v>
      </c>
      <c r="C8" s="44">
        <v>40712964.24</v>
      </c>
      <c r="D8" s="44">
        <v>50451377.43</v>
      </c>
      <c r="E8" s="38">
        <v>21995200</v>
      </c>
      <c r="F8" s="39">
        <f>'METAS ANUAIS PARA A RECEITA'!D10</f>
        <v>23683500</v>
      </c>
      <c r="G8" s="39">
        <f>'METAS ANUAIS PARA A RECEITA'!E10</f>
        <v>25395000</v>
      </c>
      <c r="H8" s="39">
        <f>'METAS ANUAIS PARA A RECEITA'!F10</f>
        <v>27618400</v>
      </c>
      <c r="IS8" s="11"/>
      <c r="IT8" s="11"/>
      <c r="IU8" s="10"/>
    </row>
    <row r="9" spans="1:255" s="4" customFormat="1" ht="12.75">
      <c r="A9" s="37" t="s">
        <v>32</v>
      </c>
      <c r="B9" s="38">
        <v>0</v>
      </c>
      <c r="C9" s="38">
        <v>0</v>
      </c>
      <c r="D9" s="38">
        <v>0</v>
      </c>
      <c r="E9" s="38">
        <v>0</v>
      </c>
      <c r="F9" s="39">
        <f>'METAS ANUAIS PARA A RECEITA'!D11</f>
        <v>0</v>
      </c>
      <c r="G9" s="39">
        <f>'METAS ANUAIS PARA A RECEITA'!E11</f>
        <v>0</v>
      </c>
      <c r="H9" s="39">
        <f>'METAS ANUAIS PARA A RECEITA'!F11</f>
        <v>0</v>
      </c>
      <c r="IS9" s="11"/>
      <c r="IT9" s="11"/>
      <c r="IU9" s="10"/>
    </row>
    <row r="10" spans="1:255" s="4" customFormat="1" ht="12.75">
      <c r="A10" s="37" t="s">
        <v>33</v>
      </c>
      <c r="B10" s="38">
        <v>6596999.52</v>
      </c>
      <c r="C10" s="38">
        <v>6296872.33</v>
      </c>
      <c r="D10" s="38">
        <v>4517273.92</v>
      </c>
      <c r="E10" s="38">
        <v>2400000</v>
      </c>
      <c r="F10" s="39">
        <f>'METAS ANUAIS PARA A RECEITA'!D12</f>
        <v>2592000</v>
      </c>
      <c r="G10" s="39">
        <f>'METAS ANUAIS PARA A RECEITA'!E12</f>
        <v>2800000</v>
      </c>
      <c r="H10" s="39">
        <f>'METAS ANUAIS PARA A RECEITA'!F12</f>
        <v>3024000</v>
      </c>
      <c r="IS10" s="11"/>
      <c r="IT10" s="11"/>
      <c r="IU10" s="10"/>
    </row>
    <row r="11" spans="1:255" s="4" customFormat="1" ht="12.75">
      <c r="A11" s="37" t="s">
        <v>34</v>
      </c>
      <c r="B11" s="38">
        <v>250803616</v>
      </c>
      <c r="C11" s="38">
        <v>270499663.5</v>
      </c>
      <c r="D11" s="38">
        <v>282457276.74</v>
      </c>
      <c r="E11" s="38">
        <v>310328729.62</v>
      </c>
      <c r="F11" s="39">
        <f>'METAS ANUAIS PARA A RECEITA'!D13</f>
        <v>329893977.5</v>
      </c>
      <c r="G11" s="39">
        <f>'METAS ANUAIS PARA A RECEITA'!E13</f>
        <v>354797517.09000003</v>
      </c>
      <c r="H11" s="39">
        <f>'METAS ANUAIS PARA A RECEITA'!F13</f>
        <v>375728231.76</v>
      </c>
      <c r="IS11" s="11"/>
      <c r="IT11" s="11"/>
      <c r="IU11" s="10"/>
    </row>
    <row r="12" spans="1:255" s="4" customFormat="1" ht="12.75">
      <c r="A12" s="37" t="s">
        <v>35</v>
      </c>
      <c r="B12" s="38">
        <v>37749025.32</v>
      </c>
      <c r="C12" s="38">
        <v>40106871.66</v>
      </c>
      <c r="D12" s="38">
        <v>23728676.6</v>
      </c>
      <c r="E12" s="38">
        <v>28635643.84</v>
      </c>
      <c r="F12" s="39">
        <f>'METAS ANUAIS PARA A RECEITA'!D19</f>
        <v>30413000</v>
      </c>
      <c r="G12" s="39">
        <f>'METAS ANUAIS PARA A RECEITA'!E19</f>
        <v>32807800</v>
      </c>
      <c r="H12" s="39">
        <f>'METAS ANUAIS PARA A RECEITA'!F19</f>
        <v>35431900</v>
      </c>
      <c r="IS12" s="11"/>
      <c r="IT12" s="11"/>
      <c r="IU12" s="10"/>
    </row>
    <row r="13" spans="1:255" s="13" customFormat="1" ht="12.75">
      <c r="A13" s="40" t="s">
        <v>156</v>
      </c>
      <c r="B13" s="41">
        <v>41752643.87</v>
      </c>
      <c r="C13" s="41">
        <v>46173700.06</v>
      </c>
      <c r="D13" s="41">
        <v>52015214.01</v>
      </c>
      <c r="E13" s="41">
        <v>60705000</v>
      </c>
      <c r="F13" s="42">
        <f>'METAS ANUAIS PARA A RECEITA'!D25</f>
        <v>66122700</v>
      </c>
      <c r="G13" s="42">
        <f>'METAS ANUAIS PARA A RECEITA'!E25</f>
        <v>72051000</v>
      </c>
      <c r="H13" s="42">
        <f>'METAS ANUAIS PARA A RECEITA'!F25</f>
        <v>77755500</v>
      </c>
      <c r="IU13" s="23"/>
    </row>
    <row r="14" spans="1:255" s="12" customFormat="1" ht="12.75">
      <c r="A14" s="34" t="s">
        <v>36</v>
      </c>
      <c r="B14" s="35">
        <f>SUM(B15:B19)</f>
        <v>21832828.16</v>
      </c>
      <c r="C14" s="35">
        <f>SUM(C15:C19)</f>
        <v>10390082.31</v>
      </c>
      <c r="D14" s="35">
        <f>SUM(D15:D19)</f>
        <v>9709764.49</v>
      </c>
      <c r="E14" s="35">
        <f>SUM(E15:E18)</f>
        <v>75780910.98</v>
      </c>
      <c r="F14" s="35">
        <f>SUM(F15:F18)</f>
        <v>15797000</v>
      </c>
      <c r="G14" s="36">
        <f>SUM(G15:G18)</f>
        <v>2140000</v>
      </c>
      <c r="H14" s="36">
        <f>SUM(H15:H18)</f>
        <v>2243000</v>
      </c>
      <c r="IT14" s="11"/>
      <c r="IU14" s="10"/>
    </row>
    <row r="15" spans="1:255" s="4" customFormat="1" ht="12.75">
      <c r="A15" s="37" t="s">
        <v>37</v>
      </c>
      <c r="B15" s="38">
        <v>14908218.56</v>
      </c>
      <c r="C15" s="38">
        <v>1026677.06</v>
      </c>
      <c r="D15" s="38">
        <v>1514988.68</v>
      </c>
      <c r="E15" s="38">
        <v>26487211.64</v>
      </c>
      <c r="F15" s="38">
        <f>'METAS ANUAIS PARA A RECEITA'!D21</f>
        <v>1760000</v>
      </c>
      <c r="G15" s="38">
        <f>'METAS ANUAIS PARA A RECEITA'!E21</f>
        <v>0</v>
      </c>
      <c r="H15" s="38">
        <f>'METAS ANUAIS PARA A RECEITA'!F21</f>
        <v>0</v>
      </c>
      <c r="IS15" s="11"/>
      <c r="IT15" s="11"/>
      <c r="IU15" s="10"/>
    </row>
    <row r="16" spans="1:255" s="4" customFormat="1" ht="12.75">
      <c r="A16" s="37" t="s">
        <v>38</v>
      </c>
      <c r="B16" s="38">
        <v>90390.16</v>
      </c>
      <c r="C16" s="38">
        <v>1819084.12</v>
      </c>
      <c r="D16" s="38">
        <v>861784.86</v>
      </c>
      <c r="E16" s="38">
        <v>2245800</v>
      </c>
      <c r="F16" s="38">
        <f>'METAS ANUAIS PARA A RECEITA'!D22</f>
        <v>2000000</v>
      </c>
      <c r="G16" s="38">
        <f>'METAS ANUAIS PARA A RECEITA'!E22</f>
        <v>2100000</v>
      </c>
      <c r="H16" s="38">
        <f>'METAS ANUAIS PARA A RECEITA'!F22</f>
        <v>2200000</v>
      </c>
      <c r="IS16" s="11"/>
      <c r="IT16" s="11"/>
      <c r="IU16" s="10"/>
    </row>
    <row r="17" spans="1:255" s="4" customFormat="1" ht="12.75">
      <c r="A17" s="37" t="s">
        <v>39</v>
      </c>
      <c r="B17" s="38">
        <v>31241.7</v>
      </c>
      <c r="C17" s="38">
        <v>84886.45</v>
      </c>
      <c r="D17" s="38">
        <v>32686.75</v>
      </c>
      <c r="E17" s="38">
        <v>34000</v>
      </c>
      <c r="F17" s="38">
        <f>'METAS ANUAIS PARA A RECEITA'!D23</f>
        <v>37000</v>
      </c>
      <c r="G17" s="38">
        <f>'METAS ANUAIS PARA A RECEITA'!E23</f>
        <v>40000</v>
      </c>
      <c r="H17" s="38">
        <f>'METAS ANUAIS PARA A RECEITA'!F23</f>
        <v>43000</v>
      </c>
      <c r="IS17" s="11"/>
      <c r="IT17" s="11"/>
      <c r="IU17" s="10"/>
    </row>
    <row r="18" spans="1:255" s="4" customFormat="1" ht="12.75">
      <c r="A18" s="37" t="s">
        <v>40</v>
      </c>
      <c r="B18" s="38">
        <v>6787818.39</v>
      </c>
      <c r="C18" s="38">
        <v>7454430.68</v>
      </c>
      <c r="D18" s="38">
        <v>7297935.95</v>
      </c>
      <c r="E18" s="38">
        <v>47013899.34</v>
      </c>
      <c r="F18" s="38">
        <f>'METAS ANUAIS PARA A RECEITA'!D24</f>
        <v>12000000</v>
      </c>
      <c r="G18" s="38">
        <f>'METAS ANUAIS PARA A RECEITA'!E24</f>
        <v>0</v>
      </c>
      <c r="H18" s="38">
        <f>'METAS ANUAIS PARA A RECEITA'!F24</f>
        <v>0</v>
      </c>
      <c r="IS18" s="11"/>
      <c r="IT18" s="11"/>
      <c r="IU18" s="10"/>
    </row>
    <row r="19" spans="1:255" s="4" customFormat="1" ht="12.75">
      <c r="A19" s="37" t="s">
        <v>41</v>
      </c>
      <c r="B19" s="44">
        <v>15159.35</v>
      </c>
      <c r="C19" s="44">
        <v>5004</v>
      </c>
      <c r="D19" s="44">
        <v>2368.25</v>
      </c>
      <c r="E19" s="38">
        <v>0</v>
      </c>
      <c r="F19" s="39"/>
      <c r="G19" s="43"/>
      <c r="H19" s="43"/>
      <c r="IS19" s="11"/>
      <c r="IT19" s="11"/>
      <c r="IU19" s="10"/>
    </row>
    <row r="20" spans="1:255" s="4" customFormat="1" ht="12.75">
      <c r="A20" s="74" t="s">
        <v>167</v>
      </c>
      <c r="B20" s="38">
        <v>29327582.42</v>
      </c>
      <c r="C20" s="38">
        <v>32255593.99</v>
      </c>
      <c r="D20" s="38">
        <v>34545594.09</v>
      </c>
      <c r="E20" s="38">
        <v>38355089.92</v>
      </c>
      <c r="F20" s="45">
        <f>'METAS ANUAIS PARA A RECEITA'!D26</f>
        <v>41680164</v>
      </c>
      <c r="G20" s="45">
        <f>'METAS ANUAIS PARA A RECEITA'!E26</f>
        <v>45300096</v>
      </c>
      <c r="H20" s="45">
        <f>'METAS ANUAIS PARA A RECEITA'!F26</f>
        <v>49241852.8</v>
      </c>
      <c r="IS20" s="11"/>
      <c r="IT20" s="11"/>
      <c r="IU20" s="10"/>
    </row>
    <row r="21" spans="1:255" s="4" customFormat="1" ht="12.75">
      <c r="A21" s="74" t="s">
        <v>172</v>
      </c>
      <c r="B21" s="38">
        <v>41235789.03</v>
      </c>
      <c r="C21" s="38">
        <v>20463772.73</v>
      </c>
      <c r="D21" s="38">
        <v>21009882.51</v>
      </c>
      <c r="E21" s="38">
        <v>10340000</v>
      </c>
      <c r="F21" s="45">
        <f>'METAS ANUAIS PARA A RECEITA'!D27</f>
        <v>11040000</v>
      </c>
      <c r="G21" s="45">
        <f>'METAS ANUAIS PARA A RECEITA'!E27</f>
        <v>11848000</v>
      </c>
      <c r="H21" s="45">
        <f>'METAS ANUAIS PARA A RECEITA'!F27</f>
        <v>12666000</v>
      </c>
      <c r="IS21" s="11"/>
      <c r="IT21" s="11"/>
      <c r="IU21" s="10"/>
    </row>
    <row r="22" spans="1:255" s="13" customFormat="1" ht="12.75">
      <c r="A22" s="34" t="s">
        <v>42</v>
      </c>
      <c r="B22" s="35">
        <f aca="true" t="shared" si="1" ref="B22:H22">B5+B14+B13-B20-B21</f>
        <v>472685940.11</v>
      </c>
      <c r="C22" s="35">
        <f t="shared" si="1"/>
        <v>521041701.75</v>
      </c>
      <c r="D22" s="35">
        <f t="shared" si="1"/>
        <v>540226922.51</v>
      </c>
      <c r="E22" s="35">
        <f t="shared" si="1"/>
        <v>638500000.0000001</v>
      </c>
      <c r="F22" s="35">
        <f t="shared" si="1"/>
        <v>620000000</v>
      </c>
      <c r="G22" s="35">
        <f t="shared" si="1"/>
        <v>655500000</v>
      </c>
      <c r="H22" s="35">
        <f t="shared" si="1"/>
        <v>702800000</v>
      </c>
      <c r="IS22" s="12"/>
      <c r="IT22" s="12"/>
      <c r="IU22" s="10"/>
    </row>
    <row r="23" spans="1:8" ht="12.75">
      <c r="A23" s="90" t="s">
        <v>163</v>
      </c>
      <c r="B23" s="90"/>
      <c r="C23" s="90"/>
      <c r="D23" s="90"/>
      <c r="E23" s="90"/>
      <c r="F23" s="90"/>
      <c r="G23" s="90"/>
      <c r="H23" s="90"/>
    </row>
    <row r="25" spans="1:6" ht="12.75">
      <c r="A25" s="14" t="s">
        <v>43</v>
      </c>
      <c r="B25" s="10"/>
      <c r="C25" s="10"/>
      <c r="D25" s="15"/>
      <c r="E25" s="10"/>
      <c r="F25" s="10"/>
    </row>
    <row r="26" spans="1:6" ht="12.75">
      <c r="A26" s="87" t="s">
        <v>44</v>
      </c>
      <c r="B26" s="87"/>
      <c r="C26" s="87"/>
      <c r="D26" s="87"/>
      <c r="E26" s="87"/>
      <c r="F26" s="10"/>
    </row>
    <row r="27" spans="1:6" ht="12.75">
      <c r="A27" s="87" t="s">
        <v>45</v>
      </c>
      <c r="B27" s="87"/>
      <c r="C27" s="87"/>
      <c r="D27" s="87"/>
      <c r="E27" s="87"/>
      <c r="F27" s="87"/>
    </row>
  </sheetData>
  <sheetProtection/>
  <mergeCells count="6">
    <mergeCell ref="A26:E26"/>
    <mergeCell ref="A27:F27"/>
    <mergeCell ref="A1:A4"/>
    <mergeCell ref="B1:D3"/>
    <mergeCell ref="E1:H3"/>
    <mergeCell ref="A23:H23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landscape" paperSize="9" r:id="rId1"/>
  <headerFooter alignWithMargins="0">
    <oddHeader>&amp;CMEMÓRIA E METODOLOGIA I        
Prefeitura Municipal de Santa Maria       
Lei de Diretrizes Orçamentárias       
Memória e Metodologia de Cálculo       
  METAS ANUAIS PARA A RECEITA – EVOLUÇÃO DA RECEITA       
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33"/>
  <sheetViews>
    <sheetView workbookViewId="0" topLeftCell="A58">
      <selection activeCell="C118" sqref="C118"/>
    </sheetView>
  </sheetViews>
  <sheetFormatPr defaultColWidth="11.140625" defaultRowHeight="12.75"/>
  <cols>
    <col min="1" max="3" width="31.140625" style="1" customWidth="1"/>
    <col min="4" max="4" width="11.140625" style="1" customWidth="1"/>
    <col min="5" max="5" width="13.8515625" style="1" bestFit="1" customWidth="1"/>
    <col min="6" max="16384" width="11.140625" style="1" customWidth="1"/>
  </cols>
  <sheetData>
    <row r="2" spans="1:3" ht="12.75">
      <c r="A2" s="92" t="s">
        <v>46</v>
      </c>
      <c r="B2" s="92"/>
      <c r="C2" s="92"/>
    </row>
    <row r="4" spans="1:3" ht="12.75">
      <c r="A4" s="93" t="s">
        <v>47</v>
      </c>
      <c r="B4" s="93" t="s">
        <v>48</v>
      </c>
      <c r="C4" s="93" t="s">
        <v>49</v>
      </c>
    </row>
    <row r="5" spans="1:3" ht="12.75">
      <c r="A5" s="93"/>
      <c r="B5" s="93"/>
      <c r="C5" s="93"/>
    </row>
    <row r="6" spans="1:5" ht="12.75">
      <c r="A6" s="25">
        <v>2013</v>
      </c>
      <c r="B6" s="26">
        <f>'EVOLUÇÃO DA RECEITA'!B6</f>
        <v>111594794.41</v>
      </c>
      <c r="C6" s="27" t="s">
        <v>50</v>
      </c>
      <c r="E6" s="75"/>
    </row>
    <row r="7" spans="1:5" ht="12.75">
      <c r="A7" s="25">
        <v>2014</v>
      </c>
      <c r="B7" s="26">
        <f>'EVOLUÇÃO DA RECEITA'!C6</f>
        <v>128854554.91</v>
      </c>
      <c r="C7" s="27">
        <f aca="true" t="shared" si="0" ref="C7:C12">(B7-B6)/B6</f>
        <v>0.15466456649032864</v>
      </c>
      <c r="E7" s="75"/>
    </row>
    <row r="8" spans="1:5" ht="12.75">
      <c r="A8" s="25">
        <v>2015</v>
      </c>
      <c r="B8" s="26">
        <f>'EVOLUÇÃO DA RECEITA'!D6</f>
        <v>137203095.87</v>
      </c>
      <c r="C8" s="27">
        <f t="shared" si="0"/>
        <v>0.06479042177306923</v>
      </c>
      <c r="E8" s="75"/>
    </row>
    <row r="9" spans="1:5" ht="12.75">
      <c r="A9" s="25">
        <v>2016</v>
      </c>
      <c r="B9" s="26">
        <f>'EVOLUÇÃO DA RECEITA'!E6</f>
        <v>149941605.48</v>
      </c>
      <c r="C9" s="27">
        <f t="shared" si="0"/>
        <v>0.09284418495971641</v>
      </c>
      <c r="E9" s="75"/>
    </row>
    <row r="10" spans="1:5" ht="12.75">
      <c r="A10" s="25">
        <v>2017</v>
      </c>
      <c r="B10" s="26">
        <f>'EVOLUÇÃO DA RECEITA'!F6</f>
        <v>163819386.5</v>
      </c>
      <c r="C10" s="27">
        <f t="shared" si="0"/>
        <v>0.09255457133177825</v>
      </c>
      <c r="E10" s="75"/>
    </row>
    <row r="11" spans="1:5" ht="12.75">
      <c r="A11" s="25">
        <v>2018</v>
      </c>
      <c r="B11" s="26">
        <f>'EVOLUÇÃO DA RECEITA'!G6</f>
        <v>179039978.91</v>
      </c>
      <c r="C11" s="27">
        <f t="shared" si="0"/>
        <v>0.09291081315336262</v>
      </c>
      <c r="E11" s="75"/>
    </row>
    <row r="12" spans="1:5" ht="12.75">
      <c r="A12" s="25">
        <v>2019</v>
      </c>
      <c r="B12" s="26">
        <f>'EVOLUÇÃO DA RECEITA'!H6</f>
        <v>195794821.04</v>
      </c>
      <c r="C12" s="27">
        <f t="shared" si="0"/>
        <v>0.09358156894344997</v>
      </c>
      <c r="E12" s="75"/>
    </row>
    <row r="13" spans="1:6" ht="12.75">
      <c r="A13" s="91" t="s">
        <v>163</v>
      </c>
      <c r="B13" s="91"/>
      <c r="C13" s="91"/>
      <c r="D13" s="70"/>
      <c r="E13" s="70"/>
      <c r="F13" s="70"/>
    </row>
    <row r="15" ht="12.75">
      <c r="A15" s="5" t="s">
        <v>23</v>
      </c>
    </row>
    <row r="16" spans="1:3" ht="12.75">
      <c r="A16" s="80" t="s">
        <v>24</v>
      </c>
      <c r="B16" s="80"/>
      <c r="C16" s="80"/>
    </row>
    <row r="19" spans="1:3" ht="12.75">
      <c r="A19" s="92" t="s">
        <v>51</v>
      </c>
      <c r="B19" s="92"/>
      <c r="C19" s="92"/>
    </row>
    <row r="21" spans="1:3" ht="12.75">
      <c r="A21" s="93" t="s">
        <v>47</v>
      </c>
      <c r="B21" s="93" t="s">
        <v>48</v>
      </c>
      <c r="C21" s="93" t="s">
        <v>49</v>
      </c>
    </row>
    <row r="22" spans="1:3" ht="12.75">
      <c r="A22" s="93"/>
      <c r="B22" s="93"/>
      <c r="C22" s="93"/>
    </row>
    <row r="23" spans="1:3" ht="12.75">
      <c r="A23" s="25">
        <v>2013</v>
      </c>
      <c r="B23" s="26">
        <f>'EVOLUÇÃO DA RECEITA'!B7</f>
        <v>29134172.9</v>
      </c>
      <c r="C23" s="27" t="s">
        <v>50</v>
      </c>
    </row>
    <row r="24" spans="1:3" ht="12.75">
      <c r="A24" s="25">
        <v>2014</v>
      </c>
      <c r="B24" s="26">
        <f>'EVOLUÇÃO DA RECEITA'!C7</f>
        <v>30726359.46</v>
      </c>
      <c r="C24" s="27">
        <f aca="true" t="shared" si="1" ref="C24:C29">(B24-B23)/B23</f>
        <v>0.054650137673893</v>
      </c>
    </row>
    <row r="25" spans="1:3" ht="12.75">
      <c r="A25" s="25">
        <v>2015</v>
      </c>
      <c r="B25" s="26">
        <f>'EVOLUÇÃO DA RECEITA'!D7</f>
        <v>35699720.05</v>
      </c>
      <c r="C25" s="27">
        <f t="shared" si="1"/>
        <v>0.16185974119304258</v>
      </c>
    </row>
    <row r="26" spans="1:3" ht="12.75">
      <c r="A26" s="25">
        <v>2016</v>
      </c>
      <c r="B26" s="26">
        <f>'EVOLUÇÃO DA RECEITA'!E7</f>
        <v>37408000</v>
      </c>
      <c r="C26" s="27">
        <f t="shared" si="1"/>
        <v>0.04785135422931708</v>
      </c>
    </row>
    <row r="27" spans="1:3" ht="12.75">
      <c r="A27" s="25">
        <v>2017</v>
      </c>
      <c r="B27" s="26">
        <f>'EVOLUÇÃO DA RECEITA'!F7</f>
        <v>40398600</v>
      </c>
      <c r="C27" s="27">
        <f t="shared" si="1"/>
        <v>0.07994546621043627</v>
      </c>
    </row>
    <row r="28" spans="1:3" ht="12.75">
      <c r="A28" s="25">
        <v>2018</v>
      </c>
      <c r="B28" s="26">
        <f>'EVOLUÇÃO DA RECEITA'!G7</f>
        <v>43616800</v>
      </c>
      <c r="C28" s="27">
        <f t="shared" si="1"/>
        <v>0.07966117637739922</v>
      </c>
    </row>
    <row r="29" spans="1:3" ht="12.75">
      <c r="A29" s="25">
        <v>2019</v>
      </c>
      <c r="B29" s="26">
        <f>'EVOLUÇÃO DA RECEITA'!H7</f>
        <v>47112000</v>
      </c>
      <c r="C29" s="27">
        <f t="shared" si="1"/>
        <v>0.08013426019332001</v>
      </c>
    </row>
    <row r="30" spans="1:3" ht="12.75">
      <c r="A30" s="91" t="s">
        <v>163</v>
      </c>
      <c r="B30" s="91"/>
      <c r="C30" s="91"/>
    </row>
    <row r="32" ht="12.75">
      <c r="A32" s="5" t="s">
        <v>23</v>
      </c>
    </row>
    <row r="33" spans="1:3" ht="12.75">
      <c r="A33" s="80" t="s">
        <v>24</v>
      </c>
      <c r="B33" s="80"/>
      <c r="C33" s="80"/>
    </row>
    <row r="36" spans="1:3" ht="12.75">
      <c r="A36" s="92" t="s">
        <v>52</v>
      </c>
      <c r="B36" s="92"/>
      <c r="C36" s="92"/>
    </row>
    <row r="38" spans="1:3" ht="12.75">
      <c r="A38" s="93" t="s">
        <v>47</v>
      </c>
      <c r="B38" s="93" t="s">
        <v>48</v>
      </c>
      <c r="C38" s="93" t="s">
        <v>49</v>
      </c>
    </row>
    <row r="39" spans="1:3" ht="12.75">
      <c r="A39" s="93"/>
      <c r="B39" s="93"/>
      <c r="C39" s="93"/>
    </row>
    <row r="40" spans="1:3" ht="12.75">
      <c r="A40" s="25">
        <v>2013</v>
      </c>
      <c r="B40" s="26">
        <f>'EVOLUÇÃO DA RECEITA'!B8</f>
        <v>43785231.38</v>
      </c>
      <c r="C40" s="27" t="s">
        <v>50</v>
      </c>
    </row>
    <row r="41" spans="1:3" ht="12.75">
      <c r="A41" s="25">
        <v>2014</v>
      </c>
      <c r="B41" s="26">
        <f>'EVOLUÇÃO DA RECEITA'!C8</f>
        <v>40712964.24</v>
      </c>
      <c r="C41" s="27">
        <f aca="true" t="shared" si="2" ref="C41:C46">(B41-B40)/B40</f>
        <v>-0.07016674442888374</v>
      </c>
    </row>
    <row r="42" spans="1:3" ht="12.75">
      <c r="A42" s="25">
        <v>2015</v>
      </c>
      <c r="B42" s="26">
        <f>'EVOLUÇÃO DA RECEITA'!D8</f>
        <v>50451377.43</v>
      </c>
      <c r="C42" s="27">
        <f t="shared" si="2"/>
        <v>0.23919685957015438</v>
      </c>
    </row>
    <row r="43" spans="1:3" ht="12.75">
      <c r="A43" s="25">
        <v>2016</v>
      </c>
      <c r="B43" s="26">
        <f>'EVOLUÇÃO DA RECEITA'!E8</f>
        <v>21995200</v>
      </c>
      <c r="C43" s="27">
        <f t="shared" si="2"/>
        <v>-0.564031724792494</v>
      </c>
    </row>
    <row r="44" spans="1:3" ht="12.75">
      <c r="A44" s="25">
        <v>2017</v>
      </c>
      <c r="B44" s="26">
        <f>'EVOLUÇÃO DA RECEITA'!F8</f>
        <v>23683500</v>
      </c>
      <c r="C44" s="27">
        <f t="shared" si="2"/>
        <v>0.07675765621590165</v>
      </c>
    </row>
    <row r="45" spans="1:3" ht="12.75">
      <c r="A45" s="25">
        <v>2018</v>
      </c>
      <c r="B45" s="26">
        <f>'EVOLUÇÃO DA RECEITA'!G8</f>
        <v>25395000</v>
      </c>
      <c r="C45" s="27">
        <f t="shared" si="2"/>
        <v>0.07226550129837228</v>
      </c>
    </row>
    <row r="46" spans="1:3" ht="12.75">
      <c r="A46" s="25">
        <v>2019</v>
      </c>
      <c r="B46" s="26">
        <f>'EVOLUÇÃO DA RECEITA'!H8</f>
        <v>27618400</v>
      </c>
      <c r="C46" s="27">
        <f t="shared" si="2"/>
        <v>0.08755266784800157</v>
      </c>
    </row>
    <row r="47" spans="1:3" ht="12.75">
      <c r="A47" s="91" t="s">
        <v>163</v>
      </c>
      <c r="B47" s="91"/>
      <c r="C47" s="91"/>
    </row>
    <row r="49" ht="12.75">
      <c r="A49" s="5" t="s">
        <v>23</v>
      </c>
    </row>
    <row r="50" spans="1:3" ht="12.75">
      <c r="A50" s="80" t="s">
        <v>24</v>
      </c>
      <c r="B50" s="80"/>
      <c r="C50" s="80"/>
    </row>
    <row r="51" ht="12.75">
      <c r="A51" s="5"/>
    </row>
    <row r="52" spans="1:3" ht="12.75">
      <c r="A52" s="92" t="s">
        <v>53</v>
      </c>
      <c r="B52" s="92"/>
      <c r="C52" s="92"/>
    </row>
    <row r="54" spans="1:3" ht="12.75">
      <c r="A54" s="93" t="s">
        <v>47</v>
      </c>
      <c r="B54" s="93" t="s">
        <v>48</v>
      </c>
      <c r="C54" s="93" t="s">
        <v>49</v>
      </c>
    </row>
    <row r="55" spans="1:3" ht="12.75">
      <c r="A55" s="93"/>
      <c r="B55" s="93"/>
      <c r="C55" s="93"/>
    </row>
    <row r="56" spans="1:3" ht="12.75">
      <c r="A56" s="25">
        <v>2013</v>
      </c>
      <c r="B56" s="26">
        <f>'EVOLUÇÃO DA RECEITA'!B11</f>
        <v>250803616</v>
      </c>
      <c r="C56" s="27" t="s">
        <v>50</v>
      </c>
    </row>
    <row r="57" spans="1:3" ht="12.75">
      <c r="A57" s="25">
        <v>2014</v>
      </c>
      <c r="B57" s="26">
        <f>'EVOLUÇÃO DA RECEITA'!C11</f>
        <v>270499663.5</v>
      </c>
      <c r="C57" s="27">
        <f aca="true" t="shared" si="3" ref="C57:C62">(B57-B56)/B56</f>
        <v>0.07853175250870387</v>
      </c>
    </row>
    <row r="58" spans="1:3" ht="12.75">
      <c r="A58" s="25">
        <v>2015</v>
      </c>
      <c r="B58" s="26">
        <f>'EVOLUÇÃO DA RECEITA'!D11</f>
        <v>282457276.74</v>
      </c>
      <c r="C58" s="27">
        <f t="shared" si="3"/>
        <v>0.04420564922440286</v>
      </c>
    </row>
    <row r="59" spans="1:3" ht="12.75">
      <c r="A59" s="25">
        <v>2016</v>
      </c>
      <c r="B59" s="26">
        <f>'EVOLUÇÃO DA RECEITA'!E11</f>
        <v>310328729.62</v>
      </c>
      <c r="C59" s="27">
        <f t="shared" si="3"/>
        <v>0.09867493307901384</v>
      </c>
    </row>
    <row r="60" spans="1:3" ht="12.75">
      <c r="A60" s="25">
        <v>2017</v>
      </c>
      <c r="B60" s="26">
        <f>'EVOLUÇÃO DA RECEITA'!F11</f>
        <v>329893977.5</v>
      </c>
      <c r="C60" s="27">
        <f t="shared" si="3"/>
        <v>0.0630468468193641</v>
      </c>
    </row>
    <row r="61" spans="1:3" ht="12.75">
      <c r="A61" s="25">
        <v>2018</v>
      </c>
      <c r="B61" s="26">
        <f>'EVOLUÇÃO DA RECEITA'!G11</f>
        <v>354797517.09000003</v>
      </c>
      <c r="C61" s="27">
        <f t="shared" si="3"/>
        <v>0.07548952478224624</v>
      </c>
    </row>
    <row r="62" spans="1:3" ht="12.75">
      <c r="A62" s="25">
        <v>2019</v>
      </c>
      <c r="B62" s="26">
        <f>'EVOLUÇÃO DA RECEITA'!H11</f>
        <v>375728231.76</v>
      </c>
      <c r="C62" s="27">
        <f t="shared" si="3"/>
        <v>0.058993407963141266</v>
      </c>
    </row>
    <row r="63" spans="1:3" ht="12.75">
      <c r="A63" s="91" t="s">
        <v>163</v>
      </c>
      <c r="B63" s="91"/>
      <c r="C63" s="91"/>
    </row>
    <row r="64" ht="12.75">
      <c r="A64" s="5"/>
    </row>
    <row r="65" ht="12.75">
      <c r="A65" s="5" t="s">
        <v>23</v>
      </c>
    </row>
    <row r="66" spans="1:3" ht="12.75">
      <c r="A66" s="80" t="s">
        <v>24</v>
      </c>
      <c r="B66" s="80"/>
      <c r="C66" s="80"/>
    </row>
    <row r="67" ht="12.75">
      <c r="A67" s="5"/>
    </row>
    <row r="68" ht="12.75">
      <c r="A68" s="5"/>
    </row>
    <row r="69" spans="1:3" ht="12.75">
      <c r="A69" s="92" t="s">
        <v>54</v>
      </c>
      <c r="B69" s="92"/>
      <c r="C69" s="92"/>
    </row>
    <row r="71" spans="1:3" ht="12.75">
      <c r="A71" s="93" t="s">
        <v>47</v>
      </c>
      <c r="B71" s="93" t="s">
        <v>48</v>
      </c>
      <c r="C71" s="93" t="s">
        <v>49</v>
      </c>
    </row>
    <row r="72" spans="1:3" ht="12.75">
      <c r="A72" s="93"/>
      <c r="B72" s="93"/>
      <c r="C72" s="93"/>
    </row>
    <row r="73" spans="1:3" ht="12.75">
      <c r="A73" s="25">
        <v>2013</v>
      </c>
      <c r="B73" s="26">
        <f>'EVOLUÇÃO DA RECEITA'!B12</f>
        <v>37749025.32</v>
      </c>
      <c r="C73" s="27" t="s">
        <v>50</v>
      </c>
    </row>
    <row r="74" spans="1:3" ht="12.75">
      <c r="A74" s="25">
        <v>2014</v>
      </c>
      <c r="B74" s="26">
        <f>'EVOLUÇÃO DA RECEITA'!C12</f>
        <v>40106871.66</v>
      </c>
      <c r="C74" s="27">
        <f aca="true" t="shared" si="4" ref="C74:C79">(B74-B73)/B73</f>
        <v>0.062461118400076246</v>
      </c>
    </row>
    <row r="75" spans="1:3" ht="12.75">
      <c r="A75" s="25">
        <v>2015</v>
      </c>
      <c r="B75" s="26">
        <f>'EVOLUÇÃO DA RECEITA'!D12</f>
        <v>23728676.6</v>
      </c>
      <c r="C75" s="27">
        <f t="shared" si="4"/>
        <v>-0.40836381353409196</v>
      </c>
    </row>
    <row r="76" spans="1:3" ht="12.75">
      <c r="A76" s="25">
        <v>2016</v>
      </c>
      <c r="B76" s="26">
        <f>'EVOLUÇÃO DA RECEITA'!E12</f>
        <v>28635643.84</v>
      </c>
      <c r="C76" s="27">
        <f t="shared" si="4"/>
        <v>0.20679481299011837</v>
      </c>
    </row>
    <row r="77" spans="1:3" ht="12.75">
      <c r="A77" s="25">
        <v>2017</v>
      </c>
      <c r="B77" s="26">
        <f>'EVOLUÇÃO DA RECEITA'!F12</f>
        <v>30413000</v>
      </c>
      <c r="C77" s="27">
        <f t="shared" si="4"/>
        <v>0.06206796571192443</v>
      </c>
    </row>
    <row r="78" spans="1:3" ht="12.75">
      <c r="A78" s="25">
        <v>2018</v>
      </c>
      <c r="B78" s="26">
        <f>'EVOLUÇÃO DA RECEITA'!G12</f>
        <v>32807800</v>
      </c>
      <c r="C78" s="27">
        <f t="shared" si="4"/>
        <v>0.07874264294873902</v>
      </c>
    </row>
    <row r="79" spans="1:3" ht="12.75">
      <c r="A79" s="25">
        <v>2019</v>
      </c>
      <c r="B79" s="26">
        <f>'EVOLUÇÃO DA RECEITA'!H12</f>
        <v>35431900</v>
      </c>
      <c r="C79" s="27">
        <f t="shared" si="4"/>
        <v>0.07998402818841861</v>
      </c>
    </row>
    <row r="80" spans="1:3" ht="12.75">
      <c r="A80" s="91" t="s">
        <v>163</v>
      </c>
      <c r="B80" s="91"/>
      <c r="C80" s="91"/>
    </row>
    <row r="82" ht="12.75">
      <c r="A82" s="5" t="s">
        <v>23</v>
      </c>
    </row>
    <row r="83" spans="1:3" ht="12.75">
      <c r="A83" s="80" t="s">
        <v>24</v>
      </c>
      <c r="B83" s="80"/>
      <c r="C83" s="80"/>
    </row>
    <row r="86" spans="1:3" ht="12.75">
      <c r="A86" s="92" t="s">
        <v>55</v>
      </c>
      <c r="B86" s="92"/>
      <c r="C86" s="92"/>
    </row>
    <row r="88" spans="1:3" ht="12.75">
      <c r="A88" s="93" t="s">
        <v>47</v>
      </c>
      <c r="B88" s="93" t="s">
        <v>48</v>
      </c>
      <c r="C88" s="93" t="s">
        <v>49</v>
      </c>
    </row>
    <row r="89" spans="1:3" ht="12.75">
      <c r="A89" s="93"/>
      <c r="B89" s="93"/>
      <c r="C89" s="93"/>
    </row>
    <row r="90" spans="1:3" ht="12.75">
      <c r="A90" s="25">
        <v>2013</v>
      </c>
      <c r="B90" s="26">
        <f>'EVOLUÇÃO DA RECEITA'!B15</f>
        <v>14908218.56</v>
      </c>
      <c r="C90" s="27" t="s">
        <v>50</v>
      </c>
    </row>
    <row r="91" spans="1:3" ht="12.75">
      <c r="A91" s="25">
        <v>2014</v>
      </c>
      <c r="B91" s="26">
        <f>'EVOLUÇÃO DA RECEITA'!C15</f>
        <v>1026677.06</v>
      </c>
      <c r="C91" s="27">
        <f>(B91-B90)/B90</f>
        <v>-0.931133484804505</v>
      </c>
    </row>
    <row r="92" spans="1:3" ht="12.75">
      <c r="A92" s="25">
        <v>2015</v>
      </c>
      <c r="B92" s="26">
        <f>'EVOLUÇÃO DA RECEITA'!D15</f>
        <v>1514988.68</v>
      </c>
      <c r="C92" s="27">
        <f>(B92-B91)/B91</f>
        <v>0.4756233863840299</v>
      </c>
    </row>
    <row r="93" spans="1:3" ht="12.75">
      <c r="A93" s="25">
        <v>2016</v>
      </c>
      <c r="B93" s="26">
        <f>'EVOLUÇÃO DA RECEITA'!E15</f>
        <v>26487211.64</v>
      </c>
      <c r="C93" s="27">
        <f>(B93-B92)/B92</f>
        <v>16.483438648531685</v>
      </c>
    </row>
    <row r="94" spans="1:3" ht="12.75">
      <c r="A94" s="25">
        <v>2017</v>
      </c>
      <c r="B94" s="26">
        <f>'EVOLUÇÃO DA RECEITA'!F15</f>
        <v>1760000</v>
      </c>
      <c r="C94" s="27">
        <f>(B94-B93)/B93</f>
        <v>-0.9335528396147931</v>
      </c>
    </row>
    <row r="95" spans="1:3" ht="12.75">
      <c r="A95" s="25">
        <v>2018</v>
      </c>
      <c r="B95" s="26">
        <f>'EVOLUÇÃO DA RECEITA'!G15</f>
        <v>0</v>
      </c>
      <c r="C95" s="27">
        <v>0</v>
      </c>
    </row>
    <row r="96" spans="1:3" ht="12.75">
      <c r="A96" s="25">
        <v>2019</v>
      </c>
      <c r="B96" s="26">
        <f>'EVOLUÇÃO DA RECEITA'!H15</f>
        <v>0</v>
      </c>
      <c r="C96" s="27">
        <v>0</v>
      </c>
    </row>
    <row r="97" spans="1:3" ht="12.75">
      <c r="A97" s="91" t="s">
        <v>163</v>
      </c>
      <c r="B97" s="91"/>
      <c r="C97" s="91"/>
    </row>
    <row r="99" ht="12.75">
      <c r="A99" s="5" t="s">
        <v>23</v>
      </c>
    </row>
    <row r="100" spans="1:3" ht="12.75">
      <c r="A100" s="80" t="s">
        <v>24</v>
      </c>
      <c r="B100" s="80"/>
      <c r="C100" s="80"/>
    </row>
    <row r="102" spans="1:3" ht="12.75">
      <c r="A102" s="92" t="s">
        <v>56</v>
      </c>
      <c r="B102" s="92"/>
      <c r="C102" s="92"/>
    </row>
    <row r="104" spans="1:3" ht="12.75">
      <c r="A104" s="93" t="s">
        <v>47</v>
      </c>
      <c r="B104" s="93" t="s">
        <v>48</v>
      </c>
      <c r="C104" s="93" t="s">
        <v>49</v>
      </c>
    </row>
    <row r="105" spans="1:3" ht="12.75">
      <c r="A105" s="93"/>
      <c r="B105" s="93"/>
      <c r="C105" s="93"/>
    </row>
    <row r="106" spans="1:3" ht="12.75">
      <c r="A106" s="25">
        <v>2013</v>
      </c>
      <c r="B106" s="26">
        <f>'EVOLUÇÃO DA RECEITA'!B17</f>
        <v>31241.7</v>
      </c>
      <c r="C106" s="27" t="s">
        <v>50</v>
      </c>
    </row>
    <row r="107" spans="1:3" ht="12.75">
      <c r="A107" s="25">
        <v>2014</v>
      </c>
      <c r="B107" s="26">
        <f>'EVOLUÇÃO DA RECEITA'!C17</f>
        <v>84886.45</v>
      </c>
      <c r="C107" s="27">
        <f aca="true" t="shared" si="5" ref="C107:C112">(B107-B106)/B106</f>
        <v>1.717088058588361</v>
      </c>
    </row>
    <row r="108" spans="1:3" ht="12.75">
      <c r="A108" s="25">
        <v>2015</v>
      </c>
      <c r="B108" s="26">
        <f>'EVOLUÇÃO DA RECEITA'!D17</f>
        <v>32686.75</v>
      </c>
      <c r="C108" s="27">
        <f t="shared" si="5"/>
        <v>-0.6149355992623087</v>
      </c>
    </row>
    <row r="109" spans="1:3" ht="12.75">
      <c r="A109" s="25">
        <v>2016</v>
      </c>
      <c r="B109" s="26">
        <f>'EVOLUÇÃO DA RECEITA'!E17</f>
        <v>34000</v>
      </c>
      <c r="C109" s="27">
        <f t="shared" si="5"/>
        <v>0.04017683006111039</v>
      </c>
    </row>
    <row r="110" spans="1:3" ht="12.75">
      <c r="A110" s="25">
        <v>2017</v>
      </c>
      <c r="B110" s="26">
        <f>'EVOLUÇÃO DA RECEITA'!F17</f>
        <v>37000</v>
      </c>
      <c r="C110" s="27">
        <f t="shared" si="5"/>
        <v>0.08823529411764706</v>
      </c>
    </row>
    <row r="111" spans="1:3" ht="12.75">
      <c r="A111" s="25">
        <v>2018</v>
      </c>
      <c r="B111" s="26">
        <f>'EVOLUÇÃO DA RECEITA'!G17</f>
        <v>40000</v>
      </c>
      <c r="C111" s="27">
        <f t="shared" si="5"/>
        <v>0.08108108108108109</v>
      </c>
    </row>
    <row r="112" spans="1:3" ht="12.75">
      <c r="A112" s="25">
        <v>2019</v>
      </c>
      <c r="B112" s="26">
        <f>'EVOLUÇÃO DA RECEITA'!H17</f>
        <v>43000</v>
      </c>
      <c r="C112" s="27">
        <f t="shared" si="5"/>
        <v>0.075</v>
      </c>
    </row>
    <row r="113" spans="1:3" ht="12.75">
      <c r="A113" s="91" t="s">
        <v>163</v>
      </c>
      <c r="B113" s="91"/>
      <c r="C113" s="91"/>
    </row>
    <row r="115" ht="12.75">
      <c r="A115" s="5" t="s">
        <v>23</v>
      </c>
    </row>
    <row r="116" spans="1:3" ht="12.75">
      <c r="A116" s="80" t="s">
        <v>24</v>
      </c>
      <c r="B116" s="80"/>
      <c r="C116" s="80"/>
    </row>
    <row r="119" spans="1:3" ht="12.75">
      <c r="A119" s="92" t="s">
        <v>57</v>
      </c>
      <c r="B119" s="92"/>
      <c r="C119" s="92"/>
    </row>
    <row r="121" spans="1:3" ht="12.75">
      <c r="A121" s="93" t="s">
        <v>47</v>
      </c>
      <c r="B121" s="93" t="s">
        <v>48</v>
      </c>
      <c r="C121" s="93" t="s">
        <v>49</v>
      </c>
    </row>
    <row r="122" spans="1:3" ht="12.75">
      <c r="A122" s="93"/>
      <c r="B122" s="93"/>
      <c r="C122" s="93"/>
    </row>
    <row r="123" spans="1:3" ht="12.75">
      <c r="A123" s="25">
        <v>2013</v>
      </c>
      <c r="B123" s="26">
        <f>'EVOLUÇÃO DA RECEITA'!B16</f>
        <v>90390.16</v>
      </c>
      <c r="C123" s="27" t="s">
        <v>50</v>
      </c>
    </row>
    <row r="124" spans="1:3" ht="12.75">
      <c r="A124" s="25">
        <v>2014</v>
      </c>
      <c r="B124" s="26">
        <f>'EVOLUÇÃO DA RECEITA'!C16</f>
        <v>1819084.12</v>
      </c>
      <c r="C124" s="27">
        <f aca="true" t="shared" si="6" ref="C124:C129">(B124-B123)/B123</f>
        <v>19.12480252275248</v>
      </c>
    </row>
    <row r="125" spans="1:3" ht="12.75">
      <c r="A125" s="25">
        <v>2015</v>
      </c>
      <c r="B125" s="26">
        <f>'EVOLUÇÃO DA RECEITA'!D16</f>
        <v>861784.86</v>
      </c>
      <c r="C125" s="27">
        <f t="shared" si="6"/>
        <v>-0.5262534313146552</v>
      </c>
    </row>
    <row r="126" spans="1:3" ht="12.75">
      <c r="A126" s="25">
        <v>2016</v>
      </c>
      <c r="B126" s="26">
        <f>'EVOLUÇÃO DA RECEITA'!E16</f>
        <v>2245800</v>
      </c>
      <c r="C126" s="27">
        <f t="shared" si="6"/>
        <v>1.605986835275802</v>
      </c>
    </row>
    <row r="127" spans="1:3" ht="12.75">
      <c r="A127" s="25">
        <v>2017</v>
      </c>
      <c r="B127" s="26">
        <f>'EVOLUÇÃO DA RECEITA'!F16</f>
        <v>2000000</v>
      </c>
      <c r="C127" s="27">
        <f t="shared" si="6"/>
        <v>-0.10944874877549203</v>
      </c>
    </row>
    <row r="128" spans="1:3" ht="12.75">
      <c r="A128" s="25">
        <v>2018</v>
      </c>
      <c r="B128" s="26">
        <f>'EVOLUÇÃO DA RECEITA'!G16</f>
        <v>2100000</v>
      </c>
      <c r="C128" s="27">
        <f t="shared" si="6"/>
        <v>0.05</v>
      </c>
    </row>
    <row r="129" spans="1:3" ht="12.75">
      <c r="A129" s="25">
        <v>2019</v>
      </c>
      <c r="B129" s="26">
        <f>'EVOLUÇÃO DA RECEITA'!H16</f>
        <v>2200000</v>
      </c>
      <c r="C129" s="27">
        <f t="shared" si="6"/>
        <v>0.047619047619047616</v>
      </c>
    </row>
    <row r="130" spans="1:3" ht="12.75">
      <c r="A130" s="91" t="s">
        <v>163</v>
      </c>
      <c r="B130" s="91"/>
      <c r="C130" s="91"/>
    </row>
    <row r="132" ht="12.75">
      <c r="A132" s="5" t="s">
        <v>23</v>
      </c>
    </row>
    <row r="133" spans="1:3" ht="12.75">
      <c r="A133" s="80" t="s">
        <v>24</v>
      </c>
      <c r="B133" s="80"/>
      <c r="C133" s="80"/>
    </row>
  </sheetData>
  <sheetProtection/>
  <mergeCells count="48">
    <mergeCell ref="A2:C2"/>
    <mergeCell ref="A4:A5"/>
    <mergeCell ref="B4:B5"/>
    <mergeCell ref="C4:C5"/>
    <mergeCell ref="A16:C16"/>
    <mergeCell ref="A19:C19"/>
    <mergeCell ref="A13:C13"/>
    <mergeCell ref="A21:A22"/>
    <mergeCell ref="B21:B22"/>
    <mergeCell ref="C21:C22"/>
    <mergeCell ref="A36:C36"/>
    <mergeCell ref="A38:A39"/>
    <mergeCell ref="B38:B39"/>
    <mergeCell ref="C38:C39"/>
    <mergeCell ref="C71:C72"/>
    <mergeCell ref="A30:C30"/>
    <mergeCell ref="A50:C50"/>
    <mergeCell ref="A52:C52"/>
    <mergeCell ref="A54:A55"/>
    <mergeCell ref="B54:B55"/>
    <mergeCell ref="C54:C55"/>
    <mergeCell ref="A33:C33"/>
    <mergeCell ref="A133:C133"/>
    <mergeCell ref="A88:A89"/>
    <mergeCell ref="B88:B89"/>
    <mergeCell ref="C88:C89"/>
    <mergeCell ref="A100:C100"/>
    <mergeCell ref="A102:C102"/>
    <mergeCell ref="A104:A105"/>
    <mergeCell ref="B104:B105"/>
    <mergeCell ref="C104:C105"/>
    <mergeCell ref="A113:C113"/>
    <mergeCell ref="A47:C47"/>
    <mergeCell ref="A63:C63"/>
    <mergeCell ref="A80:C80"/>
    <mergeCell ref="A97:C97"/>
    <mergeCell ref="A83:C83"/>
    <mergeCell ref="A86:C86"/>
    <mergeCell ref="A66:C66"/>
    <mergeCell ref="A69:C69"/>
    <mergeCell ref="A71:A72"/>
    <mergeCell ref="B71:B72"/>
    <mergeCell ref="A130:C130"/>
    <mergeCell ref="A116:C116"/>
    <mergeCell ref="A119:C119"/>
    <mergeCell ref="A121:A122"/>
    <mergeCell ref="B121:B122"/>
    <mergeCell ref="C121:C122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portrait" paperSize="9" r:id="rId1"/>
  <headerFooter alignWithMargins="0">
    <oddHeader>&amp;CMEMÓRIA E METODOLOGIA I  
Prefeitura Municipal de Santa Maria  
Lei de Diretrizes Orçamentárias  
Memória e Metodologia de Cálculo  
METAS ANUAIS PARA A RECEITA - DEMONSTRATIVO DA VARIAÇÃO DA RECEITA  
2017  
</oddHeader>
  </headerFooter>
  <rowBreaks count="2" manualBreakCount="2">
    <brk id="50" max="255" man="1"/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26" sqref="B26"/>
    </sheetView>
  </sheetViews>
  <sheetFormatPr defaultColWidth="11.28125" defaultRowHeight="12.75"/>
  <cols>
    <col min="1" max="1" width="57.00390625" style="1" customWidth="1"/>
    <col min="2" max="2" width="29.7109375" style="1" customWidth="1"/>
    <col min="3" max="3" width="13.28125" style="1" customWidth="1"/>
    <col min="4" max="16384" width="11.28125" style="1" customWidth="1"/>
  </cols>
  <sheetData>
    <row r="1" spans="1:2" ht="12.75">
      <c r="A1" s="94" t="s">
        <v>58</v>
      </c>
      <c r="B1" s="95" t="s">
        <v>59</v>
      </c>
    </row>
    <row r="2" spans="1:2" ht="16.5" customHeight="1">
      <c r="A2" s="94"/>
      <c r="B2" s="95"/>
    </row>
    <row r="3" spans="1:2" ht="12.75">
      <c r="A3" s="46" t="s">
        <v>1</v>
      </c>
      <c r="B3" s="47">
        <f>SUM(B4+B9+B10+B11+B12+B13+B21)</f>
        <v>590800464</v>
      </c>
    </row>
    <row r="4" spans="1:2" ht="12.75">
      <c r="A4" s="48" t="s">
        <v>60</v>
      </c>
      <c r="B4" s="49">
        <f>SUM(B5:B8)</f>
        <v>163819386.5</v>
      </c>
    </row>
    <row r="5" spans="1:2" ht="12.75">
      <c r="A5" s="48" t="s">
        <v>61</v>
      </c>
      <c r="B5" s="49">
        <f>'METAS ANUAIS PARA A RECEITA'!D5</f>
        <v>35382000</v>
      </c>
    </row>
    <row r="6" spans="1:2" ht="12.75">
      <c r="A6" s="48" t="s">
        <v>4</v>
      </c>
      <c r="B6" s="49">
        <f>'METAS ANUAIS PARA A RECEITA'!D6</f>
        <v>66180500</v>
      </c>
    </row>
    <row r="7" spans="1:2" ht="12.75">
      <c r="A7" s="48" t="s">
        <v>5</v>
      </c>
      <c r="B7" s="49">
        <f>'METAS ANUAIS PARA A RECEITA'!D7</f>
        <v>20435000</v>
      </c>
    </row>
    <row r="8" spans="1:2" ht="12.75">
      <c r="A8" s="48" t="s">
        <v>6</v>
      </c>
      <c r="B8" s="49">
        <f>'METAS ANUAIS PARA A RECEITA'!D8</f>
        <v>41821886.5</v>
      </c>
    </row>
    <row r="9" spans="1:2" ht="12.75">
      <c r="A9" s="48" t="s">
        <v>62</v>
      </c>
      <c r="B9" s="49">
        <f>'METAS ANUAIS PARA A RECEITA'!D9</f>
        <v>40398600</v>
      </c>
    </row>
    <row r="10" spans="1:2" ht="12.75">
      <c r="A10" s="48" t="s">
        <v>8</v>
      </c>
      <c r="B10" s="49">
        <f>'METAS ANUAIS PARA A RECEITA'!D10</f>
        <v>23683500</v>
      </c>
    </row>
    <row r="11" spans="1:2" ht="12.75">
      <c r="A11" s="48" t="s">
        <v>9</v>
      </c>
      <c r="B11" s="49">
        <f>'METAS ANUAIS PARA A RECEITA'!D11</f>
        <v>0</v>
      </c>
    </row>
    <row r="12" spans="1:2" ht="12.75">
      <c r="A12" s="48" t="s">
        <v>63</v>
      </c>
      <c r="B12" s="49">
        <f>'METAS ANUAIS PARA A RECEITA'!D12</f>
        <v>2592000</v>
      </c>
    </row>
    <row r="13" spans="1:2" ht="12.75">
      <c r="A13" s="48" t="s">
        <v>11</v>
      </c>
      <c r="B13" s="49">
        <f>SUM(B14:B20)</f>
        <v>329893977.5</v>
      </c>
    </row>
    <row r="14" spans="1:2" ht="12.75">
      <c r="A14" s="48" t="s">
        <v>12</v>
      </c>
      <c r="B14" s="49">
        <f>'METAS ANUAIS PARA A RECEITA'!D14</f>
        <v>63919200</v>
      </c>
    </row>
    <row r="15" spans="1:2" ht="12.75">
      <c r="A15" s="48" t="s">
        <v>13</v>
      </c>
      <c r="B15" s="49">
        <f>'METAS ANUAIS PARA A RECEITA'!D15</f>
        <v>97380000</v>
      </c>
    </row>
    <row r="16" spans="1:2" ht="12.75">
      <c r="A16" s="48" t="s">
        <v>64</v>
      </c>
      <c r="B16" s="49">
        <f>'METAS ANUAIS PARA A RECEITA'!D16</f>
        <v>44046000</v>
      </c>
    </row>
    <row r="17" spans="1:2" ht="12.75">
      <c r="A17" s="48" t="s">
        <v>161</v>
      </c>
      <c r="B17" s="49">
        <v>903500</v>
      </c>
    </row>
    <row r="18" spans="1:2" ht="12.75">
      <c r="A18" s="48" t="s">
        <v>162</v>
      </c>
      <c r="B18" s="49">
        <v>612120</v>
      </c>
    </row>
    <row r="19" spans="1:2" ht="12.75">
      <c r="A19" s="48" t="s">
        <v>15</v>
      </c>
      <c r="B19" s="49">
        <f>'METAS ANUAIS PARA A RECEITA'!D17</f>
        <v>81900000</v>
      </c>
    </row>
    <row r="20" spans="1:2" ht="12.75">
      <c r="A20" s="48" t="s">
        <v>65</v>
      </c>
      <c r="B20" s="49">
        <v>41133157.5</v>
      </c>
    </row>
    <row r="21" spans="1:2" ht="12.75">
      <c r="A21" s="48" t="s">
        <v>17</v>
      </c>
      <c r="B21" s="49">
        <f>'METAS ANUAIS PARA A RECEITA'!D19</f>
        <v>30413000</v>
      </c>
    </row>
    <row r="22" spans="1:2" ht="12.75">
      <c r="A22" s="50" t="s">
        <v>66</v>
      </c>
      <c r="B22" s="47">
        <f>SUM(B23+B28+B30+B25+B26+B31+B29+B27)</f>
        <v>130689064</v>
      </c>
    </row>
    <row r="23" spans="1:2" ht="13.5" customHeight="1">
      <c r="A23" s="51" t="s">
        <v>67</v>
      </c>
      <c r="B23" s="52">
        <f>SUM(B24:B24)</f>
        <v>32678600</v>
      </c>
    </row>
    <row r="24" spans="1:2" ht="12.75">
      <c r="A24" s="48" t="s">
        <v>68</v>
      </c>
      <c r="B24" s="53">
        <v>32678600</v>
      </c>
    </row>
    <row r="25" spans="1:2" ht="12.75">
      <c r="A25" s="54" t="s">
        <v>69</v>
      </c>
      <c r="B25" s="55">
        <v>62100</v>
      </c>
    </row>
    <row r="26" spans="1:2" ht="12.75">
      <c r="A26" s="48" t="s">
        <v>157</v>
      </c>
      <c r="B26" s="55">
        <v>12982800</v>
      </c>
    </row>
    <row r="27" spans="1:2" ht="12.75">
      <c r="A27" s="48" t="s">
        <v>170</v>
      </c>
      <c r="B27" s="55">
        <v>106500</v>
      </c>
    </row>
    <row r="28" spans="1:2" ht="12.75">
      <c r="A28" s="51" t="s">
        <v>70</v>
      </c>
      <c r="B28" s="53">
        <v>15128700</v>
      </c>
    </row>
    <row r="29" spans="1:2" ht="12.75">
      <c r="A29" s="51" t="s">
        <v>169</v>
      </c>
      <c r="B29" s="53">
        <v>18506000</v>
      </c>
    </row>
    <row r="30" spans="1:2" ht="12.75">
      <c r="A30" s="48" t="s">
        <v>71</v>
      </c>
      <c r="B30" s="53">
        <f>'EVOLUÇÃO DA RECEITA'!F20</f>
        <v>41680164</v>
      </c>
    </row>
    <row r="31" spans="1:2" ht="12.75">
      <c r="A31" s="48" t="s">
        <v>168</v>
      </c>
      <c r="B31" s="53">
        <v>9544200</v>
      </c>
    </row>
    <row r="32" spans="1:2" ht="12.75">
      <c r="A32" s="56" t="s">
        <v>72</v>
      </c>
      <c r="B32" s="57">
        <f>SUM(B3-B22)</f>
        <v>460111400</v>
      </c>
    </row>
    <row r="33" spans="1:3" ht="12.75">
      <c r="A33" s="91" t="s">
        <v>163</v>
      </c>
      <c r="B33" s="91"/>
      <c r="C33" s="70"/>
    </row>
    <row r="34" ht="12.75">
      <c r="B34" s="16"/>
    </row>
    <row r="35" ht="12.75">
      <c r="A35" s="5" t="s">
        <v>23</v>
      </c>
    </row>
    <row r="36" spans="1:2" ht="12.75">
      <c r="A36" s="96" t="s">
        <v>73</v>
      </c>
      <c r="B36" s="96"/>
    </row>
  </sheetData>
  <sheetProtection/>
  <mergeCells count="4">
    <mergeCell ref="A33:B33"/>
    <mergeCell ref="A1:A2"/>
    <mergeCell ref="B1:B2"/>
    <mergeCell ref="A36:B36"/>
  </mergeCells>
  <printOptions horizontalCentered="1"/>
  <pageMargins left="0.3937007874015748" right="0.3937007874015748" top="2.0078740157480315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&amp;CMEMÓRIA E METODOLOGIA I 
Prefeitura Municipal de Santa Maria 
Lei de Diretrizes Orçamentárias 
Memória e Metodologia de Cálculo 
METAS ANUAIS PARA A RECEITA
DEMONSTRATIVO DO CÁLCULO DA RECEITA CORRENTE LÍQUIDA 
2017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1" sqref="D11"/>
    </sheetView>
  </sheetViews>
  <sheetFormatPr defaultColWidth="11.140625" defaultRowHeight="12.75"/>
  <cols>
    <col min="1" max="1" width="43.421875" style="1" customWidth="1"/>
    <col min="2" max="4" width="24.00390625" style="1" customWidth="1"/>
    <col min="5" max="16384" width="11.140625" style="1" customWidth="1"/>
  </cols>
  <sheetData>
    <row r="1" spans="1:4" ht="30.75" customHeight="1">
      <c r="A1" s="58" t="s">
        <v>74</v>
      </c>
      <c r="B1" s="28">
        <v>2017</v>
      </c>
      <c r="C1" s="28">
        <v>2018</v>
      </c>
      <c r="D1" s="28">
        <v>2019</v>
      </c>
    </row>
    <row r="2" spans="1:4" ht="12.75">
      <c r="A2" s="59" t="s">
        <v>164</v>
      </c>
      <c r="B2" s="62">
        <f>B3+B4+B5</f>
        <v>539701740.1520001</v>
      </c>
      <c r="C2" s="62">
        <f>C3+C4+C5</f>
        <v>582611415.3641601</v>
      </c>
      <c r="D2" s="65">
        <f>D3+D4+D5</f>
        <v>628953864.593293</v>
      </c>
    </row>
    <row r="3" spans="1:4" ht="12.75">
      <c r="A3" s="60" t="s">
        <v>75</v>
      </c>
      <c r="B3" s="63">
        <f>'VARIAÇÃO DA DESPESA'!B8</f>
        <v>379342097.34840006</v>
      </c>
      <c r="C3" s="63">
        <f>'VARIAÇÃO DA DESPESA'!B9</f>
        <v>409689465.1362721</v>
      </c>
      <c r="D3" s="65">
        <f>'VARIAÇÃO DA DESPESA'!B10</f>
        <v>442464622.34717387</v>
      </c>
    </row>
    <row r="4" spans="1:4" ht="12.75">
      <c r="A4" s="60" t="s">
        <v>76</v>
      </c>
      <c r="B4" s="63">
        <f>'VARIAÇÃO DA DESPESA'!B25</f>
        <v>3330800</v>
      </c>
      <c r="C4" s="63">
        <f>'VARIAÇÃO DA DESPESA'!B26</f>
        <v>3330800</v>
      </c>
      <c r="D4" s="65">
        <f>'VARIAÇÃO DA DESPESA'!B27</f>
        <v>3330800</v>
      </c>
    </row>
    <row r="5" spans="1:4" ht="12.75">
      <c r="A5" s="60" t="s">
        <v>77</v>
      </c>
      <c r="B5" s="63">
        <f>'VARIAÇÃO DA DESPESA'!B42</f>
        <v>157028842.80359998</v>
      </c>
      <c r="C5" s="63">
        <f>'VARIAÇÃO DA DESPESA'!B43</f>
        <v>169591150.227888</v>
      </c>
      <c r="D5" s="65">
        <f>'VARIAÇÃO DA DESPESA'!B44</f>
        <v>183158442.24611905</v>
      </c>
    </row>
    <row r="6" spans="1:4" ht="12.75">
      <c r="A6" s="60" t="s">
        <v>78</v>
      </c>
      <c r="B6" s="63">
        <f>B7+B8+B9</f>
        <v>48248259.84799996</v>
      </c>
      <c r="C6" s="63">
        <f>C7+C8+C9</f>
        <v>38274584.63583994</v>
      </c>
      <c r="D6" s="65">
        <f>D7+D8+D9</f>
        <v>36463015.40670708</v>
      </c>
    </row>
    <row r="7" spans="1:4" ht="12.75">
      <c r="A7" s="60" t="s">
        <v>79</v>
      </c>
      <c r="B7" s="63">
        <f>'VARIAÇÃO DA DESPESA'!B59</f>
        <v>25347259.84799996</v>
      </c>
      <c r="C7" s="63">
        <f>'VARIAÇÃO DA DESPESA'!B60</f>
        <v>14015584.63583994</v>
      </c>
      <c r="D7" s="65">
        <f>'VARIAÇÃO DA DESPESA'!B61</f>
        <v>10738015.406707078</v>
      </c>
    </row>
    <row r="8" spans="1:4" ht="12.75">
      <c r="A8" s="60" t="s">
        <v>80</v>
      </c>
      <c r="B8" s="63">
        <f>'VARIAÇÃO DA DESPESA'!B75</f>
        <v>37000</v>
      </c>
      <c r="C8" s="63">
        <f>'VARIAÇÃO DA DESPESA'!B76</f>
        <v>40000</v>
      </c>
      <c r="D8" s="65">
        <f>'VARIAÇÃO DA DESPESA'!B77</f>
        <v>43000</v>
      </c>
    </row>
    <row r="9" spans="1:4" ht="12.75">
      <c r="A9" s="60" t="s">
        <v>81</v>
      </c>
      <c r="B9" s="63">
        <f>'VARIAÇÃO DA DESPESA'!B91</f>
        <v>22864000</v>
      </c>
      <c r="C9" s="63">
        <f>'VARIAÇÃO DA DESPESA'!B92</f>
        <v>24219000</v>
      </c>
      <c r="D9" s="65">
        <f>'VARIAÇÃO DA DESPESA'!B93</f>
        <v>25682000</v>
      </c>
    </row>
    <row r="10" spans="1:4" ht="12.75">
      <c r="A10" s="61" t="s">
        <v>82</v>
      </c>
      <c r="B10" s="64">
        <f>'VARIAÇÃO DA DESPESA'!B109</f>
        <v>32050000</v>
      </c>
      <c r="C10" s="64">
        <f>'VARIAÇÃO DA DESPESA'!B110</f>
        <v>34614000</v>
      </c>
      <c r="D10" s="65">
        <f>'VARIAÇÃO DA DESPESA'!B111</f>
        <v>37383120</v>
      </c>
    </row>
    <row r="11" spans="1:4" s="2" customFormat="1" ht="12.75">
      <c r="A11" s="29" t="s">
        <v>83</v>
      </c>
      <c r="B11" s="30">
        <f>SUM(B2+B6+B10)</f>
        <v>620000000</v>
      </c>
      <c r="C11" s="30">
        <f>C2+C6+C10</f>
        <v>655500000</v>
      </c>
      <c r="D11" s="30">
        <f>D2+D6+D10</f>
        <v>702800000</v>
      </c>
    </row>
    <row r="12" spans="1:4" ht="12.75">
      <c r="A12" s="91" t="s">
        <v>163</v>
      </c>
      <c r="B12" s="91"/>
      <c r="C12" s="91"/>
      <c r="D12" s="91"/>
    </row>
    <row r="14" ht="12.75">
      <c r="A14" s="5" t="s">
        <v>23</v>
      </c>
    </row>
    <row r="15" spans="1:4" ht="12.75">
      <c r="A15" s="80" t="s">
        <v>84</v>
      </c>
      <c r="B15" s="80"/>
      <c r="C15" s="80"/>
      <c r="D15" s="80"/>
    </row>
  </sheetData>
  <sheetProtection/>
  <mergeCells count="2">
    <mergeCell ref="A15:D15"/>
    <mergeCell ref="A12:D12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&amp;CMEMÓRIA E METODOLOGIA II 
Prefeitura Municipal de Santa Maria   
Lei de Diretrizes Orçamentárias   
Memória e Metodologia de Cálculo   
METAS ANUAIS PARA A DESPESA   
2017 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5"/>
  <sheetViews>
    <sheetView workbookViewId="0" topLeftCell="A58">
      <selection activeCell="F80" sqref="F80"/>
    </sheetView>
  </sheetViews>
  <sheetFormatPr defaultColWidth="11.28125" defaultRowHeight="12.75"/>
  <cols>
    <col min="1" max="3" width="30.421875" style="1" customWidth="1"/>
    <col min="4" max="4" width="13.8515625" style="17" bestFit="1" customWidth="1"/>
    <col min="5" max="6" width="13.8515625" style="1" bestFit="1" customWidth="1"/>
    <col min="7" max="255" width="11.28125" style="1" customWidth="1"/>
  </cols>
  <sheetData>
    <row r="1" spans="1:3" ht="12.75">
      <c r="A1" s="92" t="s">
        <v>85</v>
      </c>
      <c r="B1" s="92"/>
      <c r="C1" s="92"/>
    </row>
    <row r="3" spans="1:3" ht="27" customHeight="1">
      <c r="A3" s="24" t="s">
        <v>47</v>
      </c>
      <c r="B3" s="24" t="s">
        <v>48</v>
      </c>
      <c r="C3" s="24" t="s">
        <v>49</v>
      </c>
    </row>
    <row r="4" spans="1:5" ht="12.75">
      <c r="A4" s="25">
        <v>2013</v>
      </c>
      <c r="B4" s="26">
        <v>273957525.23</v>
      </c>
      <c r="C4" s="27" t="s">
        <v>50</v>
      </c>
      <c r="E4" s="17"/>
    </row>
    <row r="5" spans="1:5" ht="12.75">
      <c r="A5" s="25">
        <v>2014</v>
      </c>
      <c r="B5" s="26">
        <v>299766619.07</v>
      </c>
      <c r="C5" s="27">
        <f aca="true" t="shared" si="0" ref="C5:C10">(B5-B4)/B4</f>
        <v>0.09420837707718394</v>
      </c>
      <c r="E5" s="17"/>
    </row>
    <row r="6" spans="1:5" ht="12.75">
      <c r="A6" s="25">
        <v>2015</v>
      </c>
      <c r="B6" s="26">
        <v>335675671.86</v>
      </c>
      <c r="C6" s="27">
        <f t="shared" si="0"/>
        <v>0.11979003166331445</v>
      </c>
      <c r="E6" s="17"/>
    </row>
    <row r="7" spans="1:5" ht="12.75">
      <c r="A7" s="25">
        <v>2016</v>
      </c>
      <c r="B7" s="26">
        <v>351242682.73</v>
      </c>
      <c r="C7" s="27">
        <f t="shared" si="0"/>
        <v>0.046375153682547854</v>
      </c>
      <c r="E7" s="17"/>
    </row>
    <row r="8" spans="1:5" ht="12.75">
      <c r="A8" s="25">
        <v>2017</v>
      </c>
      <c r="B8" s="26">
        <f>B7*1.08</f>
        <v>379342097.34840006</v>
      </c>
      <c r="C8" s="27">
        <f>(B8-B7)/B7</f>
        <v>0.0800000000000001</v>
      </c>
      <c r="E8" s="17"/>
    </row>
    <row r="9" spans="1:5" ht="12.75">
      <c r="A9" s="25">
        <v>2018</v>
      </c>
      <c r="B9" s="26">
        <f>B8*1.08</f>
        <v>409689465.1362721</v>
      </c>
      <c r="C9" s="27">
        <f t="shared" si="0"/>
        <v>0.08000000000000003</v>
      </c>
      <c r="E9" s="17"/>
    </row>
    <row r="10" spans="1:5" ht="12.75">
      <c r="A10" s="25">
        <v>2019</v>
      </c>
      <c r="B10" s="26">
        <f>B9*1.08</f>
        <v>442464622.34717387</v>
      </c>
      <c r="C10" s="27">
        <f t="shared" si="0"/>
        <v>0.08000000000000007</v>
      </c>
      <c r="E10" s="17"/>
    </row>
    <row r="11" spans="1:4" ht="12.75">
      <c r="A11" s="91" t="s">
        <v>163</v>
      </c>
      <c r="B11" s="91"/>
      <c r="C11" s="91"/>
      <c r="D11" s="70"/>
    </row>
    <row r="12" ht="12.75">
      <c r="A12" s="5"/>
    </row>
    <row r="13" spans="1:256" s="5" customFormat="1" ht="12.75">
      <c r="A13" s="5" t="s">
        <v>23</v>
      </c>
      <c r="D13" s="18"/>
      <c r="IV13"/>
    </row>
    <row r="14" spans="1:256" s="20" customFormat="1" ht="12.75" customHeight="1">
      <c r="A14" s="99" t="s">
        <v>178</v>
      </c>
      <c r="B14" s="99"/>
      <c r="C14" s="99"/>
      <c r="D14" s="19"/>
      <c r="IV14"/>
    </row>
    <row r="15" spans="1:3" ht="12.75" customHeight="1">
      <c r="A15" s="97" t="s">
        <v>179</v>
      </c>
      <c r="B15" s="97"/>
      <c r="C15" s="97"/>
    </row>
    <row r="16" spans="1:3" ht="12.75">
      <c r="A16" s="97" t="s">
        <v>180</v>
      </c>
      <c r="B16" s="97"/>
      <c r="C16" s="97"/>
    </row>
    <row r="17" spans="1:3" ht="12.75">
      <c r="A17" s="21"/>
      <c r="B17" s="22"/>
      <c r="C17" s="22"/>
    </row>
    <row r="18" spans="1:3" ht="12.75">
      <c r="A18" s="92" t="s">
        <v>86</v>
      </c>
      <c r="B18" s="92"/>
      <c r="C18" s="92"/>
    </row>
    <row r="20" spans="1:3" ht="28.5" customHeight="1">
      <c r="A20" s="24" t="s">
        <v>47</v>
      </c>
      <c r="B20" s="24" t="s">
        <v>48</v>
      </c>
      <c r="C20" s="24" t="s">
        <v>49</v>
      </c>
    </row>
    <row r="21" spans="1:3" ht="12.75">
      <c r="A21" s="25">
        <v>2013</v>
      </c>
      <c r="B21" s="26">
        <v>5057713.11</v>
      </c>
      <c r="C21" s="27" t="s">
        <v>50</v>
      </c>
    </row>
    <row r="22" spans="1:3" ht="12.75">
      <c r="A22" s="25">
        <v>2014</v>
      </c>
      <c r="B22" s="26">
        <v>5267958.86</v>
      </c>
      <c r="C22" s="27">
        <f aca="true" t="shared" si="1" ref="C22:C27">(B22-B21)/B21</f>
        <v>0.041569330926324526</v>
      </c>
    </row>
    <row r="23" spans="1:3" ht="12.75">
      <c r="A23" s="25">
        <v>2015</v>
      </c>
      <c r="B23" s="26">
        <v>4447111.8</v>
      </c>
      <c r="C23" s="27">
        <f t="shared" si="1"/>
        <v>-0.15581880607169368</v>
      </c>
    </row>
    <row r="24" spans="1:3" ht="12.75">
      <c r="A24" s="25">
        <v>2016</v>
      </c>
      <c r="B24" s="26">
        <v>3700000</v>
      </c>
      <c r="C24" s="27">
        <f t="shared" si="1"/>
        <v>-0.16799932936248643</v>
      </c>
    </row>
    <row r="25" spans="1:3" ht="12.75">
      <c r="A25" s="25">
        <v>2017</v>
      </c>
      <c r="B25" s="26">
        <v>3330800</v>
      </c>
      <c r="C25" s="27">
        <f t="shared" si="1"/>
        <v>-0.09978378378378379</v>
      </c>
    </row>
    <row r="26" spans="1:3" ht="12.75">
      <c r="A26" s="25">
        <v>2018</v>
      </c>
      <c r="B26" s="26">
        <v>3330800</v>
      </c>
      <c r="C26" s="27">
        <f t="shared" si="1"/>
        <v>0</v>
      </c>
    </row>
    <row r="27" spans="1:5" ht="12.75">
      <c r="A27" s="25">
        <v>2019</v>
      </c>
      <c r="B27" s="26">
        <v>3330800</v>
      </c>
      <c r="C27" s="27">
        <f t="shared" si="1"/>
        <v>0</v>
      </c>
      <c r="E27" s="17"/>
    </row>
    <row r="28" spans="1:3" ht="12.75">
      <c r="A28" s="91" t="s">
        <v>163</v>
      </c>
      <c r="B28" s="91"/>
      <c r="C28" s="91"/>
    </row>
    <row r="30" spans="1:256" s="5" customFormat="1" ht="12.75">
      <c r="A30" s="5" t="s">
        <v>23</v>
      </c>
      <c r="D30" s="18"/>
      <c r="IV30"/>
    </row>
    <row r="31" spans="1:256" s="20" customFormat="1" ht="12.75" customHeight="1">
      <c r="A31" s="99" t="s">
        <v>178</v>
      </c>
      <c r="B31" s="99"/>
      <c r="C31" s="99"/>
      <c r="D31" s="19"/>
      <c r="IV31"/>
    </row>
    <row r="32" spans="1:3" ht="12.75" customHeight="1">
      <c r="A32" s="97" t="s">
        <v>179</v>
      </c>
      <c r="B32" s="97"/>
      <c r="C32" s="97"/>
    </row>
    <row r="33" spans="1:3" ht="12.75">
      <c r="A33" s="97" t="s">
        <v>171</v>
      </c>
      <c r="B33" s="97"/>
      <c r="C33" s="97"/>
    </row>
    <row r="35" spans="1:3" ht="12.75">
      <c r="A35" s="92" t="s">
        <v>87</v>
      </c>
      <c r="B35" s="92"/>
      <c r="C35" s="92"/>
    </row>
    <row r="37" spans="1:3" ht="28.5" customHeight="1">
      <c r="A37" s="24" t="s">
        <v>47</v>
      </c>
      <c r="B37" s="24" t="s">
        <v>48</v>
      </c>
      <c r="C37" s="24" t="s">
        <v>49</v>
      </c>
    </row>
    <row r="38" spans="1:3" ht="12.75">
      <c r="A38" s="25">
        <v>2013</v>
      </c>
      <c r="B38" s="26">
        <v>121325510.39</v>
      </c>
      <c r="C38" s="27" t="s">
        <v>50</v>
      </c>
    </row>
    <row r="39" spans="1:3" ht="12.75">
      <c r="A39" s="25">
        <v>2014</v>
      </c>
      <c r="B39" s="26">
        <v>142350531.33</v>
      </c>
      <c r="C39" s="27">
        <f aca="true" t="shared" si="2" ref="C39:C44">(B39-B38)/B38</f>
        <v>0.17329431273287235</v>
      </c>
    </row>
    <row r="40" spans="1:3" ht="12.75">
      <c r="A40" s="25">
        <v>2015</v>
      </c>
      <c r="B40" s="26">
        <v>150350329.37</v>
      </c>
      <c r="C40" s="27">
        <f t="shared" si="2"/>
        <v>0.05619787973572568</v>
      </c>
    </row>
    <row r="41" spans="1:3" ht="12.75">
      <c r="A41" s="25">
        <v>2016</v>
      </c>
      <c r="B41" s="26">
        <v>145397076.67</v>
      </c>
      <c r="C41" s="27">
        <f t="shared" si="2"/>
        <v>-0.03294474126365539</v>
      </c>
    </row>
    <row r="42" spans="1:3" ht="12.75">
      <c r="A42" s="25">
        <v>2017</v>
      </c>
      <c r="B42" s="26">
        <f>B41*1.08</f>
        <v>157028842.80359998</v>
      </c>
      <c r="C42" s="27">
        <f t="shared" si="2"/>
        <v>0.07999999999999999</v>
      </c>
    </row>
    <row r="43" spans="1:3" ht="12.75">
      <c r="A43" s="25">
        <v>2018</v>
      </c>
      <c r="B43" s="26">
        <f>B42*1.08</f>
        <v>169591150.227888</v>
      </c>
      <c r="C43" s="27">
        <f t="shared" si="2"/>
        <v>0.08000000000000004</v>
      </c>
    </row>
    <row r="44" spans="1:3" ht="12.75">
      <c r="A44" s="25">
        <v>2019</v>
      </c>
      <c r="B44" s="26">
        <f>B43*1.08</f>
        <v>183158442.24611905</v>
      </c>
      <c r="C44" s="27">
        <f t="shared" si="2"/>
        <v>0.08000000000000015</v>
      </c>
    </row>
    <row r="45" spans="1:3" ht="12.75">
      <c r="A45" s="91" t="s">
        <v>163</v>
      </c>
      <c r="B45" s="91"/>
      <c r="C45" s="91"/>
    </row>
    <row r="47" spans="1:256" s="5" customFormat="1" ht="12.75">
      <c r="A47" s="5" t="s">
        <v>23</v>
      </c>
      <c r="D47" s="18"/>
      <c r="IV47"/>
    </row>
    <row r="48" spans="1:256" s="20" customFormat="1" ht="12.75" customHeight="1">
      <c r="A48" s="99" t="s">
        <v>178</v>
      </c>
      <c r="B48" s="99"/>
      <c r="C48" s="99"/>
      <c r="D48" s="19"/>
      <c r="IV48"/>
    </row>
    <row r="49" spans="1:3" ht="12.75" customHeight="1">
      <c r="A49" s="97" t="s">
        <v>179</v>
      </c>
      <c r="B49" s="97"/>
      <c r="C49" s="97"/>
    </row>
    <row r="50" spans="1:3" ht="12.75" customHeight="1">
      <c r="A50" s="97" t="s">
        <v>180</v>
      </c>
      <c r="B50" s="97"/>
      <c r="C50" s="97"/>
    </row>
    <row r="51" ht="24.75" customHeight="1"/>
    <row r="52" spans="1:3" ht="12.75">
      <c r="A52" s="92" t="s">
        <v>88</v>
      </c>
      <c r="B52" s="92"/>
      <c r="C52" s="92"/>
    </row>
    <row r="54" spans="1:3" ht="27" customHeight="1">
      <c r="A54" s="24" t="s">
        <v>47</v>
      </c>
      <c r="B54" s="24" t="s">
        <v>48</v>
      </c>
      <c r="C54" s="24" t="s">
        <v>49</v>
      </c>
    </row>
    <row r="55" spans="1:3" ht="12.75">
      <c r="A55" s="25">
        <v>2013</v>
      </c>
      <c r="B55" s="26">
        <v>34937658.39</v>
      </c>
      <c r="C55" s="27" t="s">
        <v>50</v>
      </c>
    </row>
    <row r="56" spans="1:3" ht="12.75">
      <c r="A56" s="25">
        <v>2014</v>
      </c>
      <c r="B56" s="26">
        <v>18796665.91</v>
      </c>
      <c r="C56" s="27">
        <f aca="true" t="shared" si="3" ref="C56:C61">(B56-B55)/B55</f>
        <v>-0.4619941124794998</v>
      </c>
    </row>
    <row r="57" spans="1:3" ht="12.75">
      <c r="A57" s="25">
        <v>2015</v>
      </c>
      <c r="B57" s="26">
        <v>11441287.9</v>
      </c>
      <c r="C57" s="27">
        <f t="shared" si="3"/>
        <v>-0.3913129086412538</v>
      </c>
    </row>
    <row r="58" spans="1:3" ht="12.75">
      <c r="A58" s="25">
        <v>2016</v>
      </c>
      <c r="B58" s="26">
        <f>638500000-B7-B24-B41-B74-B90-B108</f>
        <v>85674140.6</v>
      </c>
      <c r="C58" s="27">
        <f t="shared" si="3"/>
        <v>6.488155297621694</v>
      </c>
    </row>
    <row r="59" spans="1:3" ht="12.75">
      <c r="A59" s="25">
        <v>2017</v>
      </c>
      <c r="B59" s="26">
        <f>620000000-B8-B25-B42-B75-B91-B109</f>
        <v>25347259.84799996</v>
      </c>
      <c r="C59" s="27">
        <f t="shared" si="3"/>
        <v>-0.7041434011419782</v>
      </c>
    </row>
    <row r="60" spans="1:3" ht="12.75">
      <c r="A60" s="25">
        <v>2018</v>
      </c>
      <c r="B60" s="26">
        <f>655500000-B9-B26-B43-B76-B92-B110</f>
        <v>14015584.63583994</v>
      </c>
      <c r="C60" s="27">
        <f t="shared" si="3"/>
        <v>-0.44705720776575986</v>
      </c>
    </row>
    <row r="61" spans="1:3" ht="12.75">
      <c r="A61" s="25">
        <v>2019</v>
      </c>
      <c r="B61" s="26">
        <f>702800000-B10-B27-B44-B77-B93-B111</f>
        <v>10738015.406707078</v>
      </c>
      <c r="C61" s="27">
        <f t="shared" si="3"/>
        <v>-0.23385176675053768</v>
      </c>
    </row>
    <row r="62" spans="1:3" ht="12.75">
      <c r="A62" s="91" t="s">
        <v>163</v>
      </c>
      <c r="B62" s="91"/>
      <c r="C62" s="91"/>
    </row>
    <row r="64" ht="12.75">
      <c r="A64" s="5" t="s">
        <v>23</v>
      </c>
    </row>
    <row r="65" spans="1:256" s="20" customFormat="1" ht="12.75" customHeight="1">
      <c r="A65" s="99" t="s">
        <v>178</v>
      </c>
      <c r="B65" s="99"/>
      <c r="C65" s="99"/>
      <c r="D65" s="19"/>
      <c r="IV65"/>
    </row>
    <row r="66" spans="1:3" ht="12.75" customHeight="1">
      <c r="A66" s="97" t="s">
        <v>188</v>
      </c>
      <c r="B66" s="97"/>
      <c r="C66" s="97"/>
    </row>
    <row r="68" spans="1:3" ht="12.75">
      <c r="A68" s="92" t="s">
        <v>89</v>
      </c>
      <c r="B68" s="92"/>
      <c r="C68" s="92"/>
    </row>
    <row r="70" spans="1:3" ht="26.25" customHeight="1">
      <c r="A70" s="24" t="s">
        <v>47</v>
      </c>
      <c r="B70" s="24" t="s">
        <v>48</v>
      </c>
      <c r="C70" s="24" t="s">
        <v>49</v>
      </c>
    </row>
    <row r="71" spans="1:3" ht="12.75">
      <c r="A71" s="25">
        <v>2013</v>
      </c>
      <c r="B71" s="26">
        <v>9079.2</v>
      </c>
      <c r="C71" s="27" t="s">
        <v>50</v>
      </c>
    </row>
    <row r="72" spans="1:3" ht="12.75">
      <c r="A72" s="25">
        <v>2014</v>
      </c>
      <c r="B72" s="26">
        <v>33828.26</v>
      </c>
      <c r="C72" s="27">
        <f aca="true" t="shared" si="4" ref="C72:C77">(B72-B71)/B71</f>
        <v>2.725907568948806</v>
      </c>
    </row>
    <row r="73" spans="1:3" ht="12.75">
      <c r="A73" s="25">
        <v>2015</v>
      </c>
      <c r="B73" s="26">
        <v>34460.24</v>
      </c>
      <c r="C73" s="27">
        <f t="shared" si="4"/>
        <v>0.01868201320434441</v>
      </c>
    </row>
    <row r="74" spans="1:3" ht="12.75">
      <c r="A74" s="25">
        <v>2016</v>
      </c>
      <c r="B74" s="26">
        <v>34000</v>
      </c>
      <c r="C74" s="27">
        <f t="shared" si="4"/>
        <v>-0.013355681794438983</v>
      </c>
    </row>
    <row r="75" spans="1:3" ht="12.75">
      <c r="A75" s="25">
        <v>2017</v>
      </c>
      <c r="B75" s="26">
        <v>37000</v>
      </c>
      <c r="C75" s="27">
        <f t="shared" si="4"/>
        <v>0.08823529411764706</v>
      </c>
    </row>
    <row r="76" spans="1:3" ht="12.75">
      <c r="A76" s="25">
        <v>2018</v>
      </c>
      <c r="B76" s="26">
        <v>40000</v>
      </c>
      <c r="C76" s="27">
        <f t="shared" si="4"/>
        <v>0.08108108108108109</v>
      </c>
    </row>
    <row r="77" spans="1:3" ht="12.75">
      <c r="A77" s="25">
        <v>2019</v>
      </c>
      <c r="B77" s="26">
        <v>43000</v>
      </c>
      <c r="C77" s="27">
        <f t="shared" si="4"/>
        <v>0.075</v>
      </c>
    </row>
    <row r="78" spans="1:3" ht="12.75" customHeight="1">
      <c r="A78" s="91" t="s">
        <v>163</v>
      </c>
      <c r="B78" s="91"/>
      <c r="C78" s="91"/>
    </row>
    <row r="80" ht="12.75">
      <c r="A80" s="5" t="s">
        <v>23</v>
      </c>
    </row>
    <row r="81" spans="1:256" s="20" customFormat="1" ht="12.75" customHeight="1">
      <c r="A81" s="99" t="s">
        <v>178</v>
      </c>
      <c r="B81" s="99"/>
      <c r="C81" s="99"/>
      <c r="D81" s="19"/>
      <c r="IV81"/>
    </row>
    <row r="82" spans="1:3" ht="12.75" customHeight="1">
      <c r="A82" s="97" t="s">
        <v>188</v>
      </c>
      <c r="B82" s="97"/>
      <c r="C82" s="97"/>
    </row>
    <row r="83" spans="1:3" ht="15" customHeight="1">
      <c r="A83" s="97"/>
      <c r="B83" s="97"/>
      <c r="C83" s="97"/>
    </row>
    <row r="84" spans="1:3" ht="12.75">
      <c r="A84" s="92" t="s">
        <v>90</v>
      </c>
      <c r="B84" s="92"/>
      <c r="C84" s="92"/>
    </row>
    <row r="85" ht="9" customHeight="1"/>
    <row r="86" spans="1:3" ht="27" customHeight="1">
      <c r="A86" s="24" t="s">
        <v>47</v>
      </c>
      <c r="B86" s="24" t="s">
        <v>48</v>
      </c>
      <c r="C86" s="24" t="s">
        <v>49</v>
      </c>
    </row>
    <row r="87" spans="1:3" ht="12.75">
      <c r="A87" s="25">
        <v>2013</v>
      </c>
      <c r="B87" s="26">
        <v>8506233.44</v>
      </c>
      <c r="C87" s="27" t="s">
        <v>50</v>
      </c>
    </row>
    <row r="88" spans="1:3" ht="12.75">
      <c r="A88" s="25">
        <v>2014</v>
      </c>
      <c r="B88" s="26">
        <v>14074137.54</v>
      </c>
      <c r="C88" s="27">
        <f aca="true" t="shared" si="5" ref="C88:C93">(B88-B87)/B87</f>
        <v>0.6545675167833156</v>
      </c>
    </row>
    <row r="89" spans="1:3" ht="12.75">
      <c r="A89" s="25">
        <v>2015</v>
      </c>
      <c r="B89" s="26">
        <v>12527878.06</v>
      </c>
      <c r="C89" s="27">
        <f t="shared" si="5"/>
        <v>-0.109865309728954</v>
      </c>
    </row>
    <row r="90" spans="1:3" ht="12.75">
      <c r="A90" s="25">
        <v>2016</v>
      </c>
      <c r="B90" s="26">
        <v>22404400</v>
      </c>
      <c r="C90" s="27">
        <f t="shared" si="5"/>
        <v>0.7883635115777938</v>
      </c>
    </row>
    <row r="91" spans="1:3" ht="12.75">
      <c r="A91" s="25">
        <v>2017</v>
      </c>
      <c r="B91" s="26">
        <f>16938800+5925200</f>
        <v>22864000</v>
      </c>
      <c r="C91" s="27">
        <f t="shared" si="5"/>
        <v>0.02051382764099909</v>
      </c>
    </row>
    <row r="92" spans="1:3" ht="12.75">
      <c r="A92" s="25">
        <v>2018</v>
      </c>
      <c r="B92" s="26">
        <f>5925200+18293800</f>
        <v>24219000</v>
      </c>
      <c r="C92" s="27">
        <f t="shared" si="5"/>
        <v>0.059263470958712386</v>
      </c>
    </row>
    <row r="93" spans="1:3" ht="12.75">
      <c r="A93" s="25">
        <v>2019</v>
      </c>
      <c r="B93" s="26">
        <f>5925200+19756800</f>
        <v>25682000</v>
      </c>
      <c r="C93" s="27">
        <f t="shared" si="5"/>
        <v>0.06040711837813287</v>
      </c>
    </row>
    <row r="94" spans="1:3" ht="12.75">
      <c r="A94" s="91" t="s">
        <v>163</v>
      </c>
      <c r="B94" s="91"/>
      <c r="C94" s="91"/>
    </row>
    <row r="95" ht="8.25" customHeight="1"/>
    <row r="96" ht="12.75">
      <c r="A96" s="5" t="s">
        <v>23</v>
      </c>
    </row>
    <row r="97" spans="1:256" s="20" customFormat="1" ht="12.75" customHeight="1">
      <c r="A97" s="99" t="s">
        <v>178</v>
      </c>
      <c r="B97" s="99"/>
      <c r="C97" s="99"/>
      <c r="D97" s="19"/>
      <c r="IV97"/>
    </row>
    <row r="98" spans="1:3" ht="12.75" customHeight="1">
      <c r="A98" s="97" t="s">
        <v>179</v>
      </c>
      <c r="B98" s="97"/>
      <c r="C98" s="97"/>
    </row>
    <row r="99" spans="1:3" ht="12.75" customHeight="1">
      <c r="A99" s="97" t="s">
        <v>187</v>
      </c>
      <c r="B99" s="97"/>
      <c r="C99" s="97"/>
    </row>
    <row r="100" spans="1:3" ht="12.75" customHeight="1">
      <c r="A100" s="97" t="s">
        <v>173</v>
      </c>
      <c r="B100" s="97"/>
      <c r="C100" s="97"/>
    </row>
    <row r="101" ht="41.25" customHeight="1"/>
    <row r="102" spans="1:3" ht="17.25" customHeight="1">
      <c r="A102" s="92" t="s">
        <v>91</v>
      </c>
      <c r="B102" s="92"/>
      <c r="C102" s="92"/>
    </row>
    <row r="104" spans="1:3" ht="12.75">
      <c r="A104" s="24" t="s">
        <v>47</v>
      </c>
      <c r="B104" s="24" t="s">
        <v>48</v>
      </c>
      <c r="C104" s="24" t="s">
        <v>49</v>
      </c>
    </row>
    <row r="105" spans="1:3" ht="12.75">
      <c r="A105" s="25">
        <v>2013</v>
      </c>
      <c r="B105" s="26">
        <v>17475000</v>
      </c>
      <c r="C105" s="27" t="s">
        <v>50</v>
      </c>
    </row>
    <row r="106" spans="1:3" ht="12.75">
      <c r="A106" s="25">
        <v>2014</v>
      </c>
      <c r="B106" s="26">
        <v>19042500</v>
      </c>
      <c r="C106" s="27">
        <f aca="true" t="shared" si="6" ref="C106:C111">(B106-B105)/B105</f>
        <v>0.08969957081545064</v>
      </c>
    </row>
    <row r="107" spans="1:3" ht="12.75">
      <c r="A107" s="25">
        <v>2015</v>
      </c>
      <c r="B107" s="26">
        <v>38723000</v>
      </c>
      <c r="C107" s="27">
        <f t="shared" si="6"/>
        <v>1.033504004201129</v>
      </c>
    </row>
    <row r="108" spans="1:3" ht="12.75">
      <c r="A108" s="25">
        <v>2016</v>
      </c>
      <c r="B108" s="26">
        <v>30047700</v>
      </c>
      <c r="C108" s="27">
        <f t="shared" si="6"/>
        <v>-0.2240348113524262</v>
      </c>
    </row>
    <row r="109" spans="1:3" ht="12.75">
      <c r="A109" s="25">
        <v>2017</v>
      </c>
      <c r="B109" s="26">
        <v>32050000</v>
      </c>
      <c r="C109" s="27">
        <f t="shared" si="6"/>
        <v>0.06663737989929346</v>
      </c>
    </row>
    <row r="110" spans="1:3" ht="12.75">
      <c r="A110" s="25">
        <v>2018</v>
      </c>
      <c r="B110" s="26">
        <f>B109*1.08</f>
        <v>34614000</v>
      </c>
      <c r="C110" s="27">
        <f t="shared" si="6"/>
        <v>0.08</v>
      </c>
    </row>
    <row r="111" spans="1:3" ht="12.75">
      <c r="A111" s="25">
        <v>2018</v>
      </c>
      <c r="B111" s="26">
        <f>B110*1.08</f>
        <v>37383120</v>
      </c>
      <c r="C111" s="27">
        <f t="shared" si="6"/>
        <v>0.08</v>
      </c>
    </row>
    <row r="112" spans="1:3" ht="12.75">
      <c r="A112" s="91" t="s">
        <v>163</v>
      </c>
      <c r="B112" s="91"/>
      <c r="C112" s="91"/>
    </row>
    <row r="114" ht="12.75">
      <c r="A114" s="5" t="s">
        <v>23</v>
      </c>
    </row>
    <row r="115" spans="1:3" ht="25.5" customHeight="1">
      <c r="A115" s="97" t="s">
        <v>181</v>
      </c>
      <c r="B115" s="97"/>
      <c r="C115" s="97"/>
    </row>
    <row r="116" spans="1:3" ht="27.75" customHeight="1">
      <c r="A116" s="97" t="s">
        <v>182</v>
      </c>
      <c r="B116" s="97"/>
      <c r="C116" s="97"/>
    </row>
    <row r="117" spans="1:3" ht="27.75" customHeight="1">
      <c r="A117" s="97" t="s">
        <v>183</v>
      </c>
      <c r="B117" s="97"/>
      <c r="C117" s="97"/>
    </row>
    <row r="118" spans="1:3" ht="26.25" customHeight="1">
      <c r="A118" s="97" t="s">
        <v>184</v>
      </c>
      <c r="B118" s="97"/>
      <c r="C118" s="97"/>
    </row>
    <row r="119" spans="1:3" ht="24.75" customHeight="1">
      <c r="A119" s="98" t="s">
        <v>185</v>
      </c>
      <c r="B119" s="98"/>
      <c r="C119" s="98"/>
    </row>
    <row r="120" spans="1:3" ht="12.75">
      <c r="A120" s="97" t="s">
        <v>186</v>
      </c>
      <c r="B120" s="97"/>
      <c r="C120" s="9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</sheetData>
  <sheetProtection/>
  <mergeCells count="38">
    <mergeCell ref="A1:C1"/>
    <mergeCell ref="A14:C14"/>
    <mergeCell ref="A15:C15"/>
    <mergeCell ref="A16:C16"/>
    <mergeCell ref="A18:C18"/>
    <mergeCell ref="A11:C11"/>
    <mergeCell ref="A31:C31"/>
    <mergeCell ref="A32:C32"/>
    <mergeCell ref="A28:C28"/>
    <mergeCell ref="A33:C33"/>
    <mergeCell ref="A35:C35"/>
    <mergeCell ref="A48:C48"/>
    <mergeCell ref="A49:C49"/>
    <mergeCell ref="A45:C45"/>
    <mergeCell ref="A99:C99"/>
    <mergeCell ref="A68:C68"/>
    <mergeCell ref="A78:C78"/>
    <mergeCell ref="A81:C81"/>
    <mergeCell ref="A82:C82"/>
    <mergeCell ref="A94:C94"/>
    <mergeCell ref="A83:C83"/>
    <mergeCell ref="A84:C84"/>
    <mergeCell ref="A97:C97"/>
    <mergeCell ref="A98:C98"/>
    <mergeCell ref="A50:C50"/>
    <mergeCell ref="A52:C52"/>
    <mergeCell ref="A65:C65"/>
    <mergeCell ref="A66:C66"/>
    <mergeCell ref="A62:C62"/>
    <mergeCell ref="A120:C120"/>
    <mergeCell ref="A100:C100"/>
    <mergeCell ref="A102:C102"/>
    <mergeCell ref="A115:C115"/>
    <mergeCell ref="A118:C118"/>
    <mergeCell ref="A116:C116"/>
    <mergeCell ref="A117:C117"/>
    <mergeCell ref="A112:C112"/>
    <mergeCell ref="A119:C119"/>
  </mergeCells>
  <printOptions horizontalCentered="1"/>
  <pageMargins left="0.3937007874015748" right="0.3937007874015748" top="1.7716535433070868" bottom="0.2755905511811024" header="0.5118110236220472" footer="0.3937007874015748"/>
  <pageSetup firstPageNumber="1" useFirstPageNumber="1" horizontalDpi="600" verticalDpi="600" orientation="portrait" paperSize="9" r:id="rId1"/>
  <headerFooter alignWithMargins="0">
    <oddHeader>&amp;CMEMÓRIA E METODOLOGIA II 
Prefeitura Municipal de Santa Maria  
Lei de Diretrizes Orçamentárias  
Memória e Metodologia de Cálculo  
METAS ANUAIS PARA A DESPESA - DEMONSTRATIVO DA VARIAÇÃO DA DESPESA  
2017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50"/>
  <sheetViews>
    <sheetView zoomScaleSheetLayoutView="100" workbookViewId="0" topLeftCell="A1">
      <selection activeCell="F41" sqref="F41"/>
    </sheetView>
  </sheetViews>
  <sheetFormatPr defaultColWidth="11.140625" defaultRowHeight="12.75"/>
  <cols>
    <col min="1" max="1" width="46.421875" style="1" customWidth="1"/>
    <col min="2" max="2" width="13.00390625" style="1" customWidth="1"/>
    <col min="3" max="3" width="12.8515625" style="1" customWidth="1"/>
    <col min="4" max="5" width="12.57421875" style="1" customWidth="1"/>
    <col min="6" max="6" width="12.28125" style="1" customWidth="1"/>
    <col min="7" max="7" width="14.140625" style="1" bestFit="1" customWidth="1"/>
    <col min="8" max="8" width="12.57421875" style="1" customWidth="1"/>
    <col min="9" max="9" width="16.140625" style="1" customWidth="1"/>
    <col min="10" max="10" width="14.140625" style="1" customWidth="1"/>
    <col min="11" max="11" width="16.00390625" style="1" customWidth="1"/>
    <col min="12" max="12" width="11.140625" style="1" customWidth="1"/>
    <col min="13" max="13" width="13.140625" style="1" customWidth="1"/>
    <col min="14" max="14" width="11.7109375" style="1" customWidth="1"/>
    <col min="15" max="15" width="13.140625" style="1" customWidth="1"/>
    <col min="16" max="255" width="11.140625" style="1" customWidth="1"/>
  </cols>
  <sheetData>
    <row r="1" spans="1:255" ht="12.75">
      <c r="A1" s="28" t="s">
        <v>58</v>
      </c>
      <c r="B1" s="66">
        <v>2013</v>
      </c>
      <c r="C1" s="66">
        <v>2014</v>
      </c>
      <c r="D1" s="66">
        <v>2015</v>
      </c>
      <c r="E1" s="66">
        <v>2016</v>
      </c>
      <c r="F1" s="66">
        <v>2017</v>
      </c>
      <c r="G1" s="66">
        <v>2018</v>
      </c>
      <c r="H1" s="66">
        <v>2019</v>
      </c>
      <c r="IQ1"/>
      <c r="IR1"/>
      <c r="IS1"/>
      <c r="IT1"/>
      <c r="IU1"/>
    </row>
    <row r="2" spans="1:8" ht="12.75">
      <c r="A2" s="29" t="s">
        <v>92</v>
      </c>
      <c r="B2" s="30">
        <f aca="true" t="shared" si="0" ref="B2:H2">B3+B4+B7+B10+B11</f>
        <v>446136278.97</v>
      </c>
      <c r="C2" s="30">
        <f t="shared" si="0"/>
        <v>503628737.57</v>
      </c>
      <c r="D2" s="30">
        <f t="shared" si="0"/>
        <v>520646657.7</v>
      </c>
      <c r="E2" s="30">
        <f t="shared" si="0"/>
        <v>554952889.02</v>
      </c>
      <c r="F2" s="30">
        <f t="shared" si="0"/>
        <v>595448100</v>
      </c>
      <c r="G2" s="30">
        <f t="shared" si="0"/>
        <v>644010100</v>
      </c>
      <c r="H2" s="30">
        <f t="shared" si="0"/>
        <v>690265000</v>
      </c>
    </row>
    <row r="3" spans="1:8" ht="12.75">
      <c r="A3" s="31" t="s">
        <v>60</v>
      </c>
      <c r="B3" s="26">
        <v>109621781.01</v>
      </c>
      <c r="C3" s="26">
        <v>126415329.62</v>
      </c>
      <c r="D3" s="26">
        <v>134540113.86</v>
      </c>
      <c r="E3" s="26">
        <f>'EVOLUÇÃO DA RECEITA'!E6-'EVOLUÇÃO DA RECEITA'!E21+1945800</f>
        <v>141547405.48</v>
      </c>
      <c r="F3" s="26">
        <f>'EVOLUÇÃO DA RECEITA'!F6-'EVOLUÇÃO DA RECEITA'!F21+1495800</f>
        <v>154275186.5</v>
      </c>
      <c r="G3" s="26">
        <f>'EVOLUÇÃO DA RECEITA'!G6-'EVOLUÇÃO DA RECEITA'!G21+1540100</f>
        <v>168732078.91</v>
      </c>
      <c r="H3" s="26">
        <f>'EVOLUÇÃO DA RECEITA'!H6-'EVOLUÇÃO DA RECEITA'!H21+1663300</f>
        <v>184792121.04</v>
      </c>
    </row>
    <row r="4" spans="1:8" ht="12.75">
      <c r="A4" s="31" t="s">
        <v>93</v>
      </c>
      <c r="B4" s="26">
        <f aca="true" t="shared" si="1" ref="B4:H4">SUM(B5:B6)</f>
        <v>70843542.15</v>
      </c>
      <c r="C4" s="26">
        <f t="shared" si="1"/>
        <v>75451960.46000001</v>
      </c>
      <c r="D4" s="26">
        <f t="shared" si="1"/>
        <v>85788815.39</v>
      </c>
      <c r="E4" s="26">
        <f t="shared" si="1"/>
        <v>98113000</v>
      </c>
      <c r="F4" s="26">
        <f t="shared" si="1"/>
        <v>106521300</v>
      </c>
      <c r="G4" s="26">
        <f t="shared" si="1"/>
        <v>115667800</v>
      </c>
      <c r="H4" s="26">
        <f t="shared" si="1"/>
        <v>124867500</v>
      </c>
    </row>
    <row r="5" spans="1:8" ht="12.75">
      <c r="A5" s="31" t="s">
        <v>94</v>
      </c>
      <c r="B5" s="26">
        <v>53266742.61</v>
      </c>
      <c r="C5" s="26">
        <v>56094640.29</v>
      </c>
      <c r="D5" s="26">
        <v>63417262.8</v>
      </c>
      <c r="E5" s="26">
        <v>74701000</v>
      </c>
      <c r="F5" s="26">
        <v>81283900</v>
      </c>
      <c r="G5" s="26">
        <v>88472100</v>
      </c>
      <c r="H5" s="26">
        <v>95498200</v>
      </c>
    </row>
    <row r="6" spans="1:8" ht="12.75">
      <c r="A6" s="31" t="s">
        <v>95</v>
      </c>
      <c r="B6" s="26">
        <v>17576799.54</v>
      </c>
      <c r="C6" s="26">
        <v>19357320.17</v>
      </c>
      <c r="D6" s="26">
        <v>22371552.59</v>
      </c>
      <c r="E6" s="26">
        <f>'EVOLUÇÃO DA RECEITA'!E7+'EVOLUÇÃO DA RECEITA'!E13-'META DO RESULTADO PRIMÁRIO'!E5</f>
        <v>23412000</v>
      </c>
      <c r="F6" s="26">
        <f>'EVOLUÇÃO DA RECEITA'!F7+'EVOLUÇÃO DA RECEITA'!F13-'META DO RESULTADO PRIMÁRIO'!F5</f>
        <v>25237400</v>
      </c>
      <c r="G6" s="26">
        <f>'EVOLUÇÃO DA RECEITA'!G7+'EVOLUÇÃO DA RECEITA'!G13-'META DO RESULTADO PRIMÁRIO'!G5</f>
        <v>27195700</v>
      </c>
      <c r="H6" s="26">
        <f>'EVOLUÇÃO DA RECEITA'!H7+'EVOLUÇÃO DA RECEITA'!H13-'META DO RESULTADO PRIMÁRIO'!H5</f>
        <v>29369300</v>
      </c>
    </row>
    <row r="7" spans="1:8" ht="12.75">
      <c r="A7" s="31" t="s">
        <v>96</v>
      </c>
      <c r="B7" s="26">
        <f aca="true" t="shared" si="2" ref="B7:H7">B8-B9</f>
        <v>3817129.879999999</v>
      </c>
      <c r="C7" s="26">
        <f t="shared" si="2"/>
        <v>18955935.06</v>
      </c>
      <c r="D7" s="26">
        <f t="shared" si="2"/>
        <v>25230423.85</v>
      </c>
      <c r="E7" s="26">
        <f t="shared" si="2"/>
        <v>12283200</v>
      </c>
      <c r="F7" s="26">
        <f t="shared" si="2"/>
        <v>13432800</v>
      </c>
      <c r="G7" s="26">
        <f t="shared" si="2"/>
        <v>14505000</v>
      </c>
      <c r="H7" s="26">
        <f t="shared" si="2"/>
        <v>15663100</v>
      </c>
    </row>
    <row r="8" spans="1:8" ht="12.75">
      <c r="A8" s="31" t="s">
        <v>97</v>
      </c>
      <c r="B8" s="26">
        <v>8533962.86</v>
      </c>
      <c r="C8" s="26">
        <v>27331419.09</v>
      </c>
      <c r="D8" s="26">
        <v>35789201.68</v>
      </c>
      <c r="E8" s="26">
        <f>'EVOLUÇÃO DA RECEITA'!E8</f>
        <v>21995200</v>
      </c>
      <c r="F8" s="26">
        <f>'EVOLUÇÃO DA RECEITA'!F8</f>
        <v>23683500</v>
      </c>
      <c r="G8" s="26">
        <f>'EVOLUÇÃO DA RECEITA'!G8</f>
        <v>25395000</v>
      </c>
      <c r="H8" s="26">
        <f>'EVOLUÇÃO DA RECEITA'!H8</f>
        <v>27618400</v>
      </c>
    </row>
    <row r="9" spans="1:8" ht="12.75">
      <c r="A9" s="31" t="s">
        <v>98</v>
      </c>
      <c r="B9" s="26">
        <v>4716832.98</v>
      </c>
      <c r="C9" s="26">
        <v>8375484.03</v>
      </c>
      <c r="D9" s="26">
        <v>10558777.83</v>
      </c>
      <c r="E9" s="26">
        <v>9712000</v>
      </c>
      <c r="F9" s="26">
        <v>10250700</v>
      </c>
      <c r="G9" s="26">
        <v>10890000</v>
      </c>
      <c r="H9" s="26">
        <v>11955300</v>
      </c>
    </row>
    <row r="10" spans="1:8" ht="13.5" customHeight="1">
      <c r="A10" s="31" t="s">
        <v>11</v>
      </c>
      <c r="B10" s="26">
        <v>221476033.58</v>
      </c>
      <c r="C10" s="26">
        <v>238232844.42</v>
      </c>
      <c r="D10" s="26">
        <v>247903704.96</v>
      </c>
      <c r="E10" s="26">
        <f>'EVOLUÇÃO DA RECEITA'!E11-'EVOLUÇÃO DA RECEITA'!E20</f>
        <v>271973639.7</v>
      </c>
      <c r="F10" s="26">
        <f>'EVOLUÇÃO DA RECEITA'!F11-'EVOLUÇÃO DA RECEITA'!F20</f>
        <v>288213813.5</v>
      </c>
      <c r="G10" s="26">
        <f>'EVOLUÇÃO DA RECEITA'!G11-'EVOLUÇÃO DA RECEITA'!G20</f>
        <v>309497421.09000003</v>
      </c>
      <c r="H10" s="26">
        <f>'EVOLUÇÃO DA RECEITA'!H11-'EVOLUÇÃO DA RECEITA'!H20</f>
        <v>326486378.96</v>
      </c>
    </row>
    <row r="11" spans="1:256" s="2" customFormat="1" ht="12.75">
      <c r="A11" s="31" t="s">
        <v>99</v>
      </c>
      <c r="B11" s="26">
        <f aca="true" t="shared" si="3" ref="B11:H11">B12+B13</f>
        <v>40377792.349999994</v>
      </c>
      <c r="C11" s="26">
        <f t="shared" si="3"/>
        <v>44572668.01</v>
      </c>
      <c r="D11" s="26">
        <f t="shared" si="3"/>
        <v>27183599.64</v>
      </c>
      <c r="E11" s="26">
        <f t="shared" si="3"/>
        <v>31035643.84</v>
      </c>
      <c r="F11" s="26">
        <f t="shared" si="3"/>
        <v>33005000</v>
      </c>
      <c r="G11" s="26">
        <f t="shared" si="3"/>
        <v>35607800</v>
      </c>
      <c r="H11" s="26">
        <f t="shared" si="3"/>
        <v>38455900</v>
      </c>
      <c r="IV11"/>
    </row>
    <row r="12" spans="1:15" ht="12.75">
      <c r="A12" s="31" t="s">
        <v>100</v>
      </c>
      <c r="B12" s="26">
        <v>18005005.36</v>
      </c>
      <c r="C12" s="26">
        <v>6399716.04</v>
      </c>
      <c r="D12" s="26">
        <v>6422712.03</v>
      </c>
      <c r="E12" s="26">
        <v>7660800</v>
      </c>
      <c r="F12" s="26">
        <v>7725000</v>
      </c>
      <c r="G12" s="26">
        <v>8343000</v>
      </c>
      <c r="H12" s="26">
        <v>9010000</v>
      </c>
      <c r="I12"/>
      <c r="J12"/>
      <c r="K12"/>
      <c r="L12"/>
      <c r="M12"/>
      <c r="N12"/>
      <c r="O12"/>
    </row>
    <row r="13" spans="1:15" ht="12.75">
      <c r="A13" s="31" t="s">
        <v>101</v>
      </c>
      <c r="B13" s="26">
        <v>22372786.99</v>
      </c>
      <c r="C13" s="26">
        <v>38172951.97</v>
      </c>
      <c r="D13" s="26">
        <v>20760887.61</v>
      </c>
      <c r="E13" s="26">
        <f>'EVOLUÇÃO DA RECEITA'!E9+'EVOLUÇÃO DA RECEITA'!E10+'EVOLUÇÃO DA RECEITA'!E12-E12</f>
        <v>23374843.84</v>
      </c>
      <c r="F13" s="26">
        <f>'EVOLUÇÃO DA RECEITA'!F9+'EVOLUÇÃO DA RECEITA'!F10+'EVOLUÇÃO DA RECEITA'!F12-F12</f>
        <v>25280000</v>
      </c>
      <c r="G13" s="26">
        <f>'EVOLUÇÃO DA RECEITA'!G9+'EVOLUÇÃO DA RECEITA'!G10+'EVOLUÇÃO DA RECEITA'!G12-G12</f>
        <v>27264800</v>
      </c>
      <c r="H13" s="26">
        <f>'EVOLUÇÃO DA RECEITA'!H9+'EVOLUÇÃO DA RECEITA'!H10+'EVOLUÇÃO DA RECEITA'!H12-H12</f>
        <v>29445900</v>
      </c>
      <c r="I13"/>
      <c r="J13"/>
      <c r="K13"/>
      <c r="L13"/>
      <c r="M13"/>
      <c r="N13"/>
      <c r="O13"/>
    </row>
    <row r="14" spans="1:15" ht="12.75">
      <c r="A14" s="29" t="s">
        <v>102</v>
      </c>
      <c r="B14" s="30">
        <f aca="true" t="shared" si="4" ref="B14:H14">B15+B16+B17+B18+B21</f>
        <v>21832828.16</v>
      </c>
      <c r="C14" s="30">
        <f t="shared" si="4"/>
        <v>9037480.15</v>
      </c>
      <c r="D14" s="30">
        <f t="shared" si="4"/>
        <v>9021486.98</v>
      </c>
      <c r="E14" s="30">
        <f t="shared" si="4"/>
        <v>73835110.98</v>
      </c>
      <c r="F14" s="30">
        <f t="shared" si="4"/>
        <v>14301200</v>
      </c>
      <c r="G14" s="30">
        <f t="shared" si="4"/>
        <v>599900</v>
      </c>
      <c r="H14" s="30">
        <f t="shared" si="4"/>
        <v>579700</v>
      </c>
      <c r="I14"/>
      <c r="J14"/>
      <c r="K14"/>
      <c r="L14"/>
      <c r="M14"/>
      <c r="N14"/>
      <c r="O14"/>
    </row>
    <row r="15" spans="1:8" ht="12.75">
      <c r="A15" s="31" t="s">
        <v>103</v>
      </c>
      <c r="B15" s="26">
        <f>'EVOLUÇÃO DA RECEITA'!B15</f>
        <v>14908218.56</v>
      </c>
      <c r="C15" s="26">
        <v>1006806.17</v>
      </c>
      <c r="D15" s="26">
        <v>1514988.68</v>
      </c>
      <c r="E15" s="26">
        <f>'EVOLUÇÃO DA RECEITA'!E15</f>
        <v>26487211.64</v>
      </c>
      <c r="F15" s="26">
        <f>'EVOLUÇÃO DA RECEITA'!F15</f>
        <v>1760000</v>
      </c>
      <c r="G15" s="26">
        <f>'EVOLUÇÃO DA RECEITA'!G15</f>
        <v>0</v>
      </c>
      <c r="H15" s="26">
        <f>'EVOLUÇÃO DA RECEITA'!H15</f>
        <v>0</v>
      </c>
    </row>
    <row r="16" spans="1:8" ht="12.75">
      <c r="A16" s="31" t="s">
        <v>104</v>
      </c>
      <c r="B16" s="26">
        <f>'EVOLUÇÃO DA RECEITA'!B17</f>
        <v>31241.7</v>
      </c>
      <c r="C16" s="26">
        <v>84886.45</v>
      </c>
      <c r="D16" s="26">
        <v>32654.88</v>
      </c>
      <c r="E16" s="26">
        <f>'EVOLUÇÃO DA RECEITA'!E17</f>
        <v>34000</v>
      </c>
      <c r="F16" s="26">
        <f>'EVOLUÇÃO DA RECEITA'!F17</f>
        <v>37000</v>
      </c>
      <c r="G16" s="26">
        <f>'EVOLUÇÃO DA RECEITA'!G17</f>
        <v>40000</v>
      </c>
      <c r="H16" s="26">
        <f>'EVOLUÇÃO DA RECEITA'!H17</f>
        <v>43000</v>
      </c>
    </row>
    <row r="17" spans="1:8" ht="12.75">
      <c r="A17" s="31" t="s">
        <v>105</v>
      </c>
      <c r="B17" s="26">
        <f>'EVOLUÇÃO DA RECEITA'!B16</f>
        <v>90390.16</v>
      </c>
      <c r="C17" s="26">
        <v>541471.5</v>
      </c>
      <c r="D17" s="26">
        <v>192647.72</v>
      </c>
      <c r="E17" s="26">
        <f>'EVOLUÇÃO DA RECEITA'!E16-1945800</f>
        <v>300000</v>
      </c>
      <c r="F17" s="26">
        <f>'EVOLUÇÃO DA RECEITA'!F16-1495800</f>
        <v>504200</v>
      </c>
      <c r="G17" s="26">
        <f>'EVOLUÇÃO DA RECEITA'!G16-1540100</f>
        <v>559900</v>
      </c>
      <c r="H17" s="26">
        <f>'EVOLUÇÃO DA RECEITA'!H16-1663300</f>
        <v>536700</v>
      </c>
    </row>
    <row r="18" spans="1:8" ht="12.75">
      <c r="A18" s="31" t="s">
        <v>106</v>
      </c>
      <c r="B18" s="26">
        <f aca="true" t="shared" si="5" ref="B18:H18">B19+B20</f>
        <v>6787818.39</v>
      </c>
      <c r="C18" s="26">
        <f t="shared" si="5"/>
        <v>7399312.03</v>
      </c>
      <c r="D18" s="26">
        <f t="shared" si="5"/>
        <v>7278828.03</v>
      </c>
      <c r="E18" s="26">
        <f t="shared" si="5"/>
        <v>47013899.34</v>
      </c>
      <c r="F18" s="26">
        <f t="shared" si="5"/>
        <v>12000000</v>
      </c>
      <c r="G18" s="26">
        <f t="shared" si="5"/>
        <v>0</v>
      </c>
      <c r="H18" s="26">
        <f t="shared" si="5"/>
        <v>0</v>
      </c>
    </row>
    <row r="19" spans="1:8" ht="15" customHeight="1">
      <c r="A19" s="31" t="s">
        <v>107</v>
      </c>
      <c r="B19" s="26">
        <v>178323.13</v>
      </c>
      <c r="C19" s="26">
        <v>2100673.75</v>
      </c>
      <c r="D19" s="26">
        <v>86666.66</v>
      </c>
      <c r="E19" s="26">
        <v>5912237.54</v>
      </c>
      <c r="F19" s="26">
        <v>0</v>
      </c>
      <c r="G19" s="26">
        <v>0</v>
      </c>
      <c r="H19" s="26">
        <v>0</v>
      </c>
    </row>
    <row r="20" spans="1:8" ht="12.75">
      <c r="A20" s="31" t="s">
        <v>108</v>
      </c>
      <c r="B20" s="26">
        <v>6609495.26</v>
      </c>
      <c r="C20" s="26">
        <v>5298638.28</v>
      </c>
      <c r="D20" s="26">
        <v>7192161.37</v>
      </c>
      <c r="E20" s="26">
        <f>'EVOLUÇÃO DA RECEITA'!E18-E19</f>
        <v>41101661.800000004</v>
      </c>
      <c r="F20" s="26">
        <f>'EVOLUÇÃO DA RECEITA'!F18-F19</f>
        <v>12000000</v>
      </c>
      <c r="G20" s="26">
        <f>'EVOLUÇÃO DA RECEITA'!G18-G19</f>
        <v>0</v>
      </c>
      <c r="H20" s="26">
        <f>'EVOLUÇÃO DA RECEITA'!H18-H19</f>
        <v>0</v>
      </c>
    </row>
    <row r="21" spans="1:8" ht="12.75">
      <c r="A21" s="31" t="s">
        <v>109</v>
      </c>
      <c r="B21" s="26">
        <v>15159.35</v>
      </c>
      <c r="C21" s="26">
        <v>5004</v>
      </c>
      <c r="D21" s="26">
        <v>2367.67</v>
      </c>
      <c r="E21" s="26">
        <v>0</v>
      </c>
      <c r="F21" s="26">
        <v>0</v>
      </c>
      <c r="G21" s="26">
        <v>0</v>
      </c>
      <c r="H21" s="26">
        <v>0</v>
      </c>
    </row>
    <row r="22" spans="1:8" ht="12.75">
      <c r="A22" s="29" t="s">
        <v>110</v>
      </c>
      <c r="B22" s="30">
        <f aca="true" t="shared" si="6" ref="B22:H22">B14-B15-B16-B17</f>
        <v>6802977.739999999</v>
      </c>
      <c r="C22" s="30">
        <f t="shared" si="6"/>
        <v>7404316.03</v>
      </c>
      <c r="D22" s="30">
        <f t="shared" si="6"/>
        <v>7281195.700000001</v>
      </c>
      <c r="E22" s="30">
        <f t="shared" si="6"/>
        <v>47013899.34</v>
      </c>
      <c r="F22" s="30">
        <f t="shared" si="6"/>
        <v>12000000</v>
      </c>
      <c r="G22" s="30">
        <f t="shared" si="6"/>
        <v>0</v>
      </c>
      <c r="H22" s="30">
        <f t="shared" si="6"/>
        <v>0</v>
      </c>
    </row>
    <row r="23" spans="1:256" s="2" customFormat="1" ht="18" customHeight="1">
      <c r="A23" s="68" t="s">
        <v>177</v>
      </c>
      <c r="B23" s="69">
        <f aca="true" t="shared" si="7" ref="B23:H23">B2+B22</f>
        <v>452939256.71000004</v>
      </c>
      <c r="C23" s="69">
        <f t="shared" si="7"/>
        <v>511033053.59999996</v>
      </c>
      <c r="D23" s="69">
        <f t="shared" si="7"/>
        <v>527927853.4</v>
      </c>
      <c r="E23" s="69">
        <f t="shared" si="7"/>
        <v>601966788.36</v>
      </c>
      <c r="F23" s="69">
        <f t="shared" si="7"/>
        <v>607448100</v>
      </c>
      <c r="G23" s="69">
        <f t="shared" si="7"/>
        <v>644010100</v>
      </c>
      <c r="H23" s="69">
        <f t="shared" si="7"/>
        <v>690265000</v>
      </c>
      <c r="IV23"/>
    </row>
    <row r="24" spans="1:8" ht="12.75">
      <c r="A24" s="29" t="s">
        <v>111</v>
      </c>
      <c r="B24" s="30">
        <f aca="true" t="shared" si="8" ref="B24:H24">B25+B26+B27</f>
        <v>400340748.73</v>
      </c>
      <c r="C24" s="30">
        <f t="shared" si="8"/>
        <v>447385109.26</v>
      </c>
      <c r="D24" s="30">
        <f t="shared" si="8"/>
        <v>490473113.03000003</v>
      </c>
      <c r="E24" s="30">
        <f t="shared" si="8"/>
        <v>500339759.4</v>
      </c>
      <c r="F24" s="30">
        <f t="shared" si="8"/>
        <v>539701740.1520001</v>
      </c>
      <c r="G24" s="30">
        <f t="shared" si="8"/>
        <v>582611415.3641601</v>
      </c>
      <c r="H24" s="30">
        <f t="shared" si="8"/>
        <v>628953864.593293</v>
      </c>
    </row>
    <row r="25" spans="1:8" ht="12.75">
      <c r="A25" s="31" t="s">
        <v>112</v>
      </c>
      <c r="B25" s="26">
        <f>'VARIAÇÃO DA DESPESA'!B4</f>
        <v>273957525.23</v>
      </c>
      <c r="C25" s="26">
        <f>'VARIAÇÃO DA DESPESA'!B5</f>
        <v>299766619.07</v>
      </c>
      <c r="D25" s="26">
        <f>'VARIAÇÃO DA DESPESA'!B6</f>
        <v>335675671.86</v>
      </c>
      <c r="E25" s="26">
        <f>'VARIAÇÃO DA DESPESA'!B7</f>
        <v>351242682.73</v>
      </c>
      <c r="F25" s="26">
        <f>'VARIAÇÃO DA DESPESA'!B8</f>
        <v>379342097.34840006</v>
      </c>
      <c r="G25" s="26">
        <f>'VARIAÇÃO DA DESPESA'!B9</f>
        <v>409689465.1362721</v>
      </c>
      <c r="H25" s="26">
        <f>'VARIAÇÃO DA DESPESA'!B10</f>
        <v>442464622.34717387</v>
      </c>
    </row>
    <row r="26" spans="1:8" ht="12.75">
      <c r="A26" s="31" t="s">
        <v>113</v>
      </c>
      <c r="B26" s="26">
        <f>'VARIAÇÃO DA DESPESA'!B21</f>
        <v>5057713.11</v>
      </c>
      <c r="C26" s="26">
        <f>'VARIAÇÃO DA DESPESA'!B22</f>
        <v>5267958.86</v>
      </c>
      <c r="D26" s="26">
        <f>'VARIAÇÃO DA DESPESA'!B23</f>
        <v>4447111.8</v>
      </c>
      <c r="E26" s="26">
        <f>'VARIAÇÃO DA DESPESA'!B24</f>
        <v>3700000</v>
      </c>
      <c r="F26" s="26">
        <f>'VARIAÇÃO DA DESPESA'!B25</f>
        <v>3330800</v>
      </c>
      <c r="G26" s="26">
        <f>'VARIAÇÃO DA DESPESA'!B26</f>
        <v>3330800</v>
      </c>
      <c r="H26" s="26">
        <f>'VARIAÇÃO DA DESPESA'!B27</f>
        <v>3330800</v>
      </c>
    </row>
    <row r="27" spans="1:8" ht="12.75">
      <c r="A27" s="31" t="s">
        <v>114</v>
      </c>
      <c r="B27" s="26">
        <f>'VARIAÇÃO DA DESPESA'!B38</f>
        <v>121325510.39</v>
      </c>
      <c r="C27" s="26">
        <f>'VARIAÇÃO DA DESPESA'!B39</f>
        <v>142350531.33</v>
      </c>
      <c r="D27" s="26">
        <f>'VARIAÇÃO DA DESPESA'!B40</f>
        <v>150350329.37</v>
      </c>
      <c r="E27" s="26">
        <f>'VARIAÇÃO DA DESPESA'!B41</f>
        <v>145397076.67</v>
      </c>
      <c r="F27" s="26">
        <f>'VARIAÇÃO DA DESPESA'!B42</f>
        <v>157028842.80359998</v>
      </c>
      <c r="G27" s="26">
        <f>'VARIAÇÃO DA DESPESA'!B43</f>
        <v>169591150.227888</v>
      </c>
      <c r="H27" s="26">
        <f>'VARIAÇÃO DA DESPESA'!B44</f>
        <v>183158442.24611905</v>
      </c>
    </row>
    <row r="28" spans="1:8" ht="12.75">
      <c r="A28" s="29" t="s">
        <v>115</v>
      </c>
      <c r="B28" s="30">
        <f>B24-B26</f>
        <v>395283035.62</v>
      </c>
      <c r="C28" s="30">
        <f aca="true" t="shared" si="9" ref="C28:H28">C24-C26</f>
        <v>442117150.4</v>
      </c>
      <c r="D28" s="30">
        <f>D24-D26</f>
        <v>486026001.23</v>
      </c>
      <c r="E28" s="30">
        <f t="shared" si="9"/>
        <v>496639759.4</v>
      </c>
      <c r="F28" s="30">
        <f t="shared" si="9"/>
        <v>536370940.15200007</v>
      </c>
      <c r="G28" s="30">
        <f t="shared" si="9"/>
        <v>579280615.3641601</v>
      </c>
      <c r="H28" s="30">
        <f t="shared" si="9"/>
        <v>625623064.593293</v>
      </c>
    </row>
    <row r="29" spans="1:8" ht="12.75">
      <c r="A29" s="29" t="s">
        <v>116</v>
      </c>
      <c r="B29" s="30">
        <f aca="true" t="shared" si="10" ref="B29:H29">B30+B31+B35</f>
        <v>43452971.03</v>
      </c>
      <c r="C29" s="30">
        <f t="shared" si="10"/>
        <v>32904631.71</v>
      </c>
      <c r="D29" s="30">
        <f>D30+D31+D35</f>
        <v>24003626.200000003</v>
      </c>
      <c r="E29" s="30">
        <f t="shared" si="10"/>
        <v>108112540.6</v>
      </c>
      <c r="F29" s="30">
        <f t="shared" si="10"/>
        <v>48248259.84799996</v>
      </c>
      <c r="G29" s="30">
        <f t="shared" si="10"/>
        <v>38274584.63583994</v>
      </c>
      <c r="H29" s="30">
        <f t="shared" si="10"/>
        <v>36463015.40670708</v>
      </c>
    </row>
    <row r="30" spans="1:8" ht="12.75">
      <c r="A30" s="31" t="s">
        <v>117</v>
      </c>
      <c r="B30" s="26">
        <f>'VARIAÇÃO DA DESPESA'!B55</f>
        <v>34937658.39</v>
      </c>
      <c r="C30" s="26">
        <f>'VARIAÇÃO DA DESPESA'!B56</f>
        <v>18796665.91</v>
      </c>
      <c r="D30" s="26">
        <f>'VARIAÇÃO DA DESPESA'!B57</f>
        <v>11441287.9</v>
      </c>
      <c r="E30" s="26">
        <f>'VARIAÇÃO DA DESPESA'!B58</f>
        <v>85674140.6</v>
      </c>
      <c r="F30" s="26">
        <f>'VARIAÇÃO DA DESPESA'!B59</f>
        <v>25347259.84799996</v>
      </c>
      <c r="G30" s="26">
        <f>'VARIAÇÃO DA DESPESA'!B60</f>
        <v>14015584.63583994</v>
      </c>
      <c r="H30" s="26">
        <f>'VARIAÇÃO DA DESPESA'!B61</f>
        <v>10738015.406707078</v>
      </c>
    </row>
    <row r="31" spans="1:256" s="2" customFormat="1" ht="15" customHeight="1">
      <c r="A31" s="31" t="s">
        <v>118</v>
      </c>
      <c r="B31" s="26">
        <f aca="true" t="shared" si="11" ref="B31:H31">B32+B33+B34</f>
        <v>9079.2</v>
      </c>
      <c r="C31" s="26">
        <f t="shared" si="11"/>
        <v>33828.26</v>
      </c>
      <c r="D31" s="26">
        <f t="shared" si="11"/>
        <v>34460.24</v>
      </c>
      <c r="E31" s="26">
        <f t="shared" si="11"/>
        <v>34000</v>
      </c>
      <c r="F31" s="26">
        <f t="shared" si="11"/>
        <v>37000</v>
      </c>
      <c r="G31" s="26">
        <f t="shared" si="11"/>
        <v>40000</v>
      </c>
      <c r="H31" s="26">
        <f t="shared" si="11"/>
        <v>43000</v>
      </c>
      <c r="IV31"/>
    </row>
    <row r="32" spans="1:256" s="2" customFormat="1" ht="12.75">
      <c r="A32" s="31" t="s">
        <v>119</v>
      </c>
      <c r="B32" s="26">
        <f>'VARIAÇÃO DA DESPESA'!B71</f>
        <v>9079.2</v>
      </c>
      <c r="C32" s="26">
        <f>'VARIAÇÃO DA DESPESA'!B72</f>
        <v>33828.26</v>
      </c>
      <c r="D32" s="26">
        <f>'VARIAÇÃO DA DESPESA'!B73</f>
        <v>34460.24</v>
      </c>
      <c r="E32" s="26">
        <f>'VARIAÇÃO DA DESPESA'!B74</f>
        <v>34000</v>
      </c>
      <c r="F32" s="26">
        <f>'VARIAÇÃO DA DESPESA'!B75</f>
        <v>37000</v>
      </c>
      <c r="G32" s="26">
        <f>'VARIAÇÃO DA DESPESA'!B76</f>
        <v>40000</v>
      </c>
      <c r="H32" s="26">
        <f>'VARIAÇÃO DA DESPESA'!B77</f>
        <v>43000</v>
      </c>
      <c r="IV32"/>
    </row>
    <row r="33" spans="1:256" s="2" customFormat="1" ht="14.25" customHeight="1">
      <c r="A33" s="31" t="s">
        <v>120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V33"/>
    </row>
    <row r="34" spans="1:8" ht="12.75">
      <c r="A34" s="31" t="s">
        <v>121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1:8" ht="12.75">
      <c r="A35" s="31" t="s">
        <v>122</v>
      </c>
      <c r="B35" s="26">
        <f>'VARIAÇÃO DA DESPESA'!B87</f>
        <v>8506233.44</v>
      </c>
      <c r="C35" s="26">
        <f>'VARIAÇÃO DA DESPESA'!B88</f>
        <v>14074137.54</v>
      </c>
      <c r="D35" s="26">
        <f>'VARIAÇÃO DA DESPESA'!B89</f>
        <v>12527878.06</v>
      </c>
      <c r="E35" s="26">
        <f>'VARIAÇÃO DA DESPESA'!B90</f>
        <v>22404400</v>
      </c>
      <c r="F35" s="26">
        <f>'VARIAÇÃO DA DESPESA'!B91</f>
        <v>22864000</v>
      </c>
      <c r="G35" s="26">
        <f>'VARIAÇÃO DA DESPESA'!B92</f>
        <v>24219000</v>
      </c>
      <c r="H35" s="26">
        <f>'VARIAÇÃO DA DESPESA'!B93</f>
        <v>25682000</v>
      </c>
    </row>
    <row r="36" spans="1:8" ht="16.5" customHeight="1">
      <c r="A36" s="29" t="s">
        <v>123</v>
      </c>
      <c r="B36" s="30">
        <f>B29-B32-B33-B35</f>
        <v>34937658.39</v>
      </c>
      <c r="C36" s="30">
        <f aca="true" t="shared" si="12" ref="C36:H36">C29-C32-C33-C35</f>
        <v>18796665.91</v>
      </c>
      <c r="D36" s="30">
        <f>D29-D32-D33-D35</f>
        <v>11441287.900000004</v>
      </c>
      <c r="E36" s="30">
        <f t="shared" si="12"/>
        <v>85674140.6</v>
      </c>
      <c r="F36" s="30">
        <f>F29-F32-F33-F35</f>
        <v>25347259.84799996</v>
      </c>
      <c r="G36" s="30">
        <f t="shared" si="12"/>
        <v>14015584.63583994</v>
      </c>
      <c r="H36" s="30">
        <f t="shared" si="12"/>
        <v>10738015.406707078</v>
      </c>
    </row>
    <row r="37" spans="1:256" s="2" customFormat="1" ht="12.75">
      <c r="A37" s="29" t="s">
        <v>124</v>
      </c>
      <c r="B37" s="30">
        <v>0</v>
      </c>
      <c r="C37" s="30">
        <v>0</v>
      </c>
      <c r="D37" s="30">
        <v>0</v>
      </c>
      <c r="E37" s="30">
        <f>'VARIAÇÃO DA DESPESA'!B108</f>
        <v>30047700</v>
      </c>
      <c r="F37" s="30">
        <f>'VARIAÇÃO DA DESPESA'!B109</f>
        <v>32050000</v>
      </c>
      <c r="G37" s="30">
        <f>'VARIAÇÃO DA DESPESA'!B110</f>
        <v>34614000</v>
      </c>
      <c r="H37" s="30">
        <f>'VARIAÇÃO DA DESPESA'!B111</f>
        <v>37383120</v>
      </c>
      <c r="IV37"/>
    </row>
    <row r="38" spans="1:256" s="2" customFormat="1" ht="13.5" customHeight="1">
      <c r="A38" s="29" t="s">
        <v>174</v>
      </c>
      <c r="B38" s="30">
        <v>321406.57</v>
      </c>
      <c r="C38" s="30">
        <v>572584.71</v>
      </c>
      <c r="D38" s="30">
        <v>1883030.07</v>
      </c>
      <c r="E38" s="30"/>
      <c r="F38" s="30"/>
      <c r="G38" s="30"/>
      <c r="H38" s="30"/>
      <c r="IV38"/>
    </row>
    <row r="39" spans="1:256" s="2" customFormat="1" ht="17.25" customHeight="1">
      <c r="A39" s="68" t="s">
        <v>175</v>
      </c>
      <c r="B39" s="69">
        <f>B28+B36+B37+B38</f>
        <v>430542100.58</v>
      </c>
      <c r="C39" s="69">
        <f aca="true" t="shared" si="13" ref="C39:H39">C28+C36+C37+C38</f>
        <v>461486401.02</v>
      </c>
      <c r="D39" s="69">
        <f t="shared" si="13"/>
        <v>499350319.2</v>
      </c>
      <c r="E39" s="69">
        <f t="shared" si="13"/>
        <v>612361600</v>
      </c>
      <c r="F39" s="69">
        <f t="shared" si="13"/>
        <v>593768200</v>
      </c>
      <c r="G39" s="69">
        <f t="shared" si="13"/>
        <v>627910200</v>
      </c>
      <c r="H39" s="69">
        <f t="shared" si="13"/>
        <v>673744200</v>
      </c>
      <c r="IV39"/>
    </row>
    <row r="40" spans="1:8" ht="12.75">
      <c r="A40" s="76"/>
      <c r="B40" s="77"/>
      <c r="C40" s="77"/>
      <c r="D40" s="77"/>
      <c r="E40" s="77"/>
      <c r="F40" s="77"/>
      <c r="G40" s="77"/>
      <c r="H40" s="78"/>
    </row>
    <row r="41" spans="1:8" ht="12.75">
      <c r="A41" s="68" t="s">
        <v>176</v>
      </c>
      <c r="B41" s="69">
        <f aca="true" t="shared" si="14" ref="B41:H41">B23-B39</f>
        <v>22397156.130000055</v>
      </c>
      <c r="C41" s="69">
        <f t="shared" si="14"/>
        <v>49546652.57999998</v>
      </c>
      <c r="D41" s="69">
        <f t="shared" si="14"/>
        <v>28577534.199999988</v>
      </c>
      <c r="E41" s="69">
        <f>E23-E39</f>
        <v>-10394811.639999986</v>
      </c>
      <c r="F41" s="69">
        <f t="shared" si="14"/>
        <v>13679900</v>
      </c>
      <c r="G41" s="69">
        <f t="shared" si="14"/>
        <v>16099900</v>
      </c>
      <c r="H41" s="69">
        <f t="shared" si="14"/>
        <v>16520800</v>
      </c>
    </row>
    <row r="42" spans="1:8" ht="12.75">
      <c r="A42" s="79" t="s">
        <v>163</v>
      </c>
      <c r="B42" s="79"/>
      <c r="C42" s="79"/>
      <c r="D42" s="79"/>
      <c r="E42" s="79"/>
      <c r="F42" s="79"/>
      <c r="G42" s="79"/>
      <c r="H42" s="79"/>
    </row>
    <row r="46" spans="1:256" s="2" customFormat="1" ht="12.75">
      <c r="A46" s="1"/>
      <c r="B46" s="1"/>
      <c r="C46" s="1"/>
      <c r="D46" s="1"/>
      <c r="E46" s="1"/>
      <c r="F46" s="1"/>
      <c r="G46" s="1"/>
      <c r="H46" s="1"/>
      <c r="IV46"/>
    </row>
    <row r="47" spans="1:256" s="2" customFormat="1" ht="12.75">
      <c r="A47" s="1"/>
      <c r="B47" s="1"/>
      <c r="C47" s="1"/>
      <c r="D47" s="1"/>
      <c r="E47" s="1"/>
      <c r="F47" s="1"/>
      <c r="G47" s="1"/>
      <c r="H47" s="1"/>
      <c r="IV47"/>
    </row>
    <row r="48" spans="1:256" s="2" customFormat="1" ht="12.75">
      <c r="A48" s="1"/>
      <c r="B48" s="1"/>
      <c r="C48" s="1"/>
      <c r="D48" s="1"/>
      <c r="E48" s="1"/>
      <c r="F48" s="1"/>
      <c r="G48" s="1"/>
      <c r="H48" s="1"/>
      <c r="IV48"/>
    </row>
    <row r="50" spans="1:256" s="2" customFormat="1" ht="18" customHeight="1">
      <c r="A50" s="1"/>
      <c r="B50" s="1"/>
      <c r="C50" s="1"/>
      <c r="D50" s="1"/>
      <c r="E50" s="1"/>
      <c r="F50" s="1"/>
      <c r="G50" s="1"/>
      <c r="H50" s="1"/>
      <c r="IV50"/>
    </row>
  </sheetData>
  <sheetProtection/>
  <printOptions horizontalCentered="1"/>
  <pageMargins left="0.3937007874015748" right="0.3937007874015748" top="1.7716535433070868" bottom="0.4330708661417323" header="0.5118110236220472" footer="0.5118110236220472"/>
  <pageSetup horizontalDpi="600" verticalDpi="600" orientation="landscape" paperSize="9" r:id="rId1"/>
  <headerFooter alignWithMargins="0">
    <oddHeader>&amp;CMEMÓRIA E METODOLOGIA III        
Prefeitura Municipal de Santa Maria       
Lei de Diretrizes Orçamentárias       
Memória e Metodologia de Cálculo       
METAS ANUAIS PARA O RESULTADO PRIMÁRIO       
2017       
</oddHead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15" sqref="H15"/>
    </sheetView>
  </sheetViews>
  <sheetFormatPr defaultColWidth="11.140625" defaultRowHeight="12.75"/>
  <cols>
    <col min="1" max="1" width="32.8515625" style="1" customWidth="1"/>
    <col min="2" max="2" width="12.8515625" style="1" customWidth="1"/>
    <col min="3" max="3" width="13.00390625" style="1" customWidth="1"/>
    <col min="4" max="4" width="14.140625" style="1" customWidth="1"/>
    <col min="5" max="5" width="13.00390625" style="1" customWidth="1"/>
    <col min="6" max="6" width="12.57421875" style="1" customWidth="1"/>
    <col min="7" max="7" width="13.140625" style="1" customWidth="1"/>
    <col min="8" max="8" width="12.28125" style="1" bestFit="1" customWidth="1"/>
    <col min="9" max="16384" width="11.140625" style="1" customWidth="1"/>
  </cols>
  <sheetData>
    <row r="1" spans="1:8" ht="12.75">
      <c r="A1" s="100" t="s">
        <v>58</v>
      </c>
      <c r="B1" s="66">
        <v>2013</v>
      </c>
      <c r="C1" s="66">
        <v>2014</v>
      </c>
      <c r="D1" s="66">
        <v>2015</v>
      </c>
      <c r="E1" s="66">
        <v>2016</v>
      </c>
      <c r="F1" s="66">
        <v>2017</v>
      </c>
      <c r="G1" s="66">
        <v>2018</v>
      </c>
      <c r="H1" s="66">
        <v>2019</v>
      </c>
    </row>
    <row r="2" spans="1:8" ht="12.75">
      <c r="A2" s="100"/>
      <c r="B2" s="66" t="s">
        <v>125</v>
      </c>
      <c r="C2" s="66" t="s">
        <v>126</v>
      </c>
      <c r="D2" s="66" t="s">
        <v>127</v>
      </c>
      <c r="E2" s="66" t="s">
        <v>128</v>
      </c>
      <c r="F2" s="66" t="s">
        <v>129</v>
      </c>
      <c r="G2" s="66" t="s">
        <v>130</v>
      </c>
      <c r="H2" s="66" t="s">
        <v>131</v>
      </c>
    </row>
    <row r="3" spans="1:8" ht="18" customHeight="1">
      <c r="A3" s="29" t="s">
        <v>132</v>
      </c>
      <c r="B3" s="26">
        <f>'MONTANTE DA DÍVIDA PÚBLICA'!B2</f>
        <v>110699919.79</v>
      </c>
      <c r="C3" s="26">
        <f>'MONTANTE DA DÍVIDA PÚBLICA'!C2</f>
        <v>110010048.46</v>
      </c>
      <c r="D3" s="26">
        <f>'MONTANTE DA DÍVIDA PÚBLICA'!D2</f>
        <v>140002465.16</v>
      </c>
      <c r="E3" s="26">
        <f>'MONTANTE DA DÍVIDA PÚBLICA'!E2</f>
        <v>115002465.16</v>
      </c>
      <c r="F3" s="26">
        <f>'MONTANTE DA DÍVIDA PÚBLICA'!F2</f>
        <v>90000000</v>
      </c>
      <c r="G3" s="26">
        <f>'MONTANTE DA DÍVIDA PÚBLICA'!G2</f>
        <v>75000000</v>
      </c>
      <c r="H3" s="26">
        <f>'MONTANTE DA DÍVIDA PÚBLICA'!H2</f>
        <v>60000000</v>
      </c>
    </row>
    <row r="4" spans="1:8" ht="18" customHeight="1">
      <c r="A4" s="29" t="s">
        <v>66</v>
      </c>
      <c r="B4" s="26">
        <f>B5+B6-B7+B8</f>
        <v>155225033.07999998</v>
      </c>
      <c r="C4" s="26">
        <f>C5+C6-C7+C8</f>
        <v>187304987.64000002</v>
      </c>
      <c r="D4" s="26">
        <f>D5+D6-D7</f>
        <v>202347617.66</v>
      </c>
      <c r="E4" s="26">
        <f>E5+E6-E7</f>
        <v>189050000</v>
      </c>
      <c r="F4" s="26">
        <f>F5+F6-F7</f>
        <v>189200000</v>
      </c>
      <c r="G4" s="26">
        <f>G5+G6-G7</f>
        <v>169500000</v>
      </c>
      <c r="H4" s="26">
        <f>H5+H6-H7</f>
        <v>149900000</v>
      </c>
    </row>
    <row r="5" spans="1:8" ht="18" customHeight="1">
      <c r="A5" s="31" t="s">
        <v>133</v>
      </c>
      <c r="B5" s="26">
        <f>'MONTANTE DA DÍVIDA PÚBLICA'!B6</f>
        <v>174697234.67</v>
      </c>
      <c r="C5" s="26">
        <f>'MONTANTE DA DÍVIDA PÚBLICA'!C6</f>
        <v>188149400.9</v>
      </c>
      <c r="D5" s="26">
        <f>'MONTANTE DA DÍVIDA PÚBLICA'!D6</f>
        <v>203326694.95</v>
      </c>
      <c r="E5" s="26">
        <f>'MONTANTE DA DÍVIDA PÚBLICA'!E6</f>
        <v>190000000</v>
      </c>
      <c r="F5" s="26">
        <f>'MONTANTE DA DÍVIDA PÚBLICA'!F6</f>
        <v>190000000</v>
      </c>
      <c r="G5" s="26">
        <f>'MONTANTE DA DÍVIDA PÚBLICA'!G6</f>
        <v>170000000</v>
      </c>
      <c r="H5" s="26">
        <f>'MONTANTE DA DÍVIDA PÚBLICA'!H6</f>
        <v>150000000</v>
      </c>
    </row>
    <row r="6" spans="1:8" ht="18" customHeight="1">
      <c r="A6" s="31" t="s">
        <v>134</v>
      </c>
      <c r="B6" s="26">
        <f>'MONTANTE DA DÍVIDA PÚBLICA'!B7</f>
        <v>0</v>
      </c>
      <c r="C6" s="26">
        <f>'MONTANTE DA DÍVIDA PÚBLICA'!C7</f>
        <v>0</v>
      </c>
      <c r="D6" s="26">
        <f>'MONTANTE DA DÍVIDA PÚBLICA'!D7</f>
        <v>0</v>
      </c>
      <c r="E6" s="26">
        <f>'MONTANTE DA DÍVIDA PÚBLICA'!E7</f>
        <v>0</v>
      </c>
      <c r="F6" s="26">
        <f>'MONTANTE DA DÍVIDA PÚBLICA'!F7</f>
        <v>0</v>
      </c>
      <c r="G6" s="26">
        <f>'MONTANTE DA DÍVIDA PÚBLICA'!G7</f>
        <v>0</v>
      </c>
      <c r="H6" s="26">
        <f>'MONTANTE DA DÍVIDA PÚBLICA'!H7</f>
        <v>0</v>
      </c>
    </row>
    <row r="7" spans="1:8" ht="18" customHeight="1">
      <c r="A7" s="31" t="s">
        <v>135</v>
      </c>
      <c r="B7" s="26">
        <f>'MONTANTE DA DÍVIDA PÚBLICA'!B8</f>
        <v>19472201.59</v>
      </c>
      <c r="C7" s="26">
        <f>'MONTANTE DA DÍVIDA PÚBLICA'!C8</f>
        <v>844413.26</v>
      </c>
      <c r="D7" s="26">
        <f>'MONTANTE DA DÍVIDA PÚBLICA'!D8</f>
        <v>979077.29</v>
      </c>
      <c r="E7" s="26">
        <f>'MONTANTE DA DÍVIDA PÚBLICA'!E8</f>
        <v>950000</v>
      </c>
      <c r="F7" s="26">
        <f>'MONTANTE DA DÍVIDA PÚBLICA'!F8</f>
        <v>800000</v>
      </c>
      <c r="G7" s="26">
        <f>'MONTANTE DA DÍVIDA PÚBLICA'!G8</f>
        <v>500000</v>
      </c>
      <c r="H7" s="26">
        <f>'MONTANTE DA DÍVIDA PÚBLICA'!H8</f>
        <v>100000</v>
      </c>
    </row>
    <row r="8" spans="1:8" ht="18" customHeight="1">
      <c r="A8" s="29" t="s">
        <v>136</v>
      </c>
      <c r="B8" s="26"/>
      <c r="C8" s="26"/>
      <c r="D8" s="26"/>
      <c r="E8" s="26"/>
      <c r="F8" s="26"/>
      <c r="G8" s="26"/>
      <c r="H8" s="26"/>
    </row>
    <row r="9" spans="1:8" ht="18" customHeight="1">
      <c r="A9" s="29" t="s">
        <v>137</v>
      </c>
      <c r="B9" s="26">
        <f aca="true" t="shared" si="0" ref="B9:G9">B3-B4</f>
        <v>-44525113.28999998</v>
      </c>
      <c r="C9" s="26">
        <f t="shared" si="0"/>
        <v>-77294939.18000002</v>
      </c>
      <c r="D9" s="26">
        <f t="shared" si="0"/>
        <v>-62345152.5</v>
      </c>
      <c r="E9" s="26">
        <f t="shared" si="0"/>
        <v>-74047534.84</v>
      </c>
      <c r="F9" s="26">
        <f t="shared" si="0"/>
        <v>-99200000</v>
      </c>
      <c r="G9" s="26">
        <f t="shared" si="0"/>
        <v>-94500000</v>
      </c>
      <c r="H9" s="26">
        <f>H3-H4</f>
        <v>-89900000</v>
      </c>
    </row>
    <row r="10" spans="1:8" ht="18" customHeight="1">
      <c r="A10" s="29" t="s">
        <v>138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ht="18" customHeight="1">
      <c r="A11" s="29" t="s">
        <v>139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ht="18" customHeight="1">
      <c r="A12" s="29" t="s">
        <v>140</v>
      </c>
      <c r="B12" s="26">
        <f>B9+B10-B11</f>
        <v>-44525113.28999998</v>
      </c>
      <c r="C12" s="26">
        <f aca="true" t="shared" si="1" ref="C12:H12">C9+C10-C11</f>
        <v>-77294939.18000002</v>
      </c>
      <c r="D12" s="26">
        <f t="shared" si="1"/>
        <v>-62345152.5</v>
      </c>
      <c r="E12" s="26">
        <f t="shared" si="1"/>
        <v>-74047534.84</v>
      </c>
      <c r="F12" s="26">
        <f t="shared" si="1"/>
        <v>-99200000</v>
      </c>
      <c r="G12" s="26">
        <f t="shared" si="1"/>
        <v>-94500000</v>
      </c>
      <c r="H12" s="26">
        <f t="shared" si="1"/>
        <v>-89900000</v>
      </c>
    </row>
    <row r="13" spans="1:8" ht="12.75">
      <c r="A13" s="71"/>
      <c r="B13" s="72"/>
      <c r="C13" s="72"/>
      <c r="D13" s="72"/>
      <c r="E13" s="72"/>
      <c r="F13" s="72"/>
      <c r="G13" s="72"/>
      <c r="H13" s="73"/>
    </row>
    <row r="14" spans="1:8" ht="15" customHeight="1">
      <c r="A14" s="101" t="s">
        <v>141</v>
      </c>
      <c r="B14" s="67" t="s">
        <v>142</v>
      </c>
      <c r="C14" s="67" t="s">
        <v>143</v>
      </c>
      <c r="D14" s="67" t="s">
        <v>144</v>
      </c>
      <c r="E14" s="67" t="s">
        <v>145</v>
      </c>
      <c r="F14" s="67" t="s">
        <v>146</v>
      </c>
      <c r="G14" s="67" t="s">
        <v>147</v>
      </c>
      <c r="H14" s="67" t="s">
        <v>148</v>
      </c>
    </row>
    <row r="15" spans="1:8" ht="15" customHeight="1">
      <c r="A15" s="101"/>
      <c r="B15" s="30">
        <f>B12+117978092.1</f>
        <v>73452978.81000002</v>
      </c>
      <c r="C15" s="30">
        <f aca="true" t="shared" si="2" ref="C15:H15">C12-B12</f>
        <v>-32769825.890000045</v>
      </c>
      <c r="D15" s="30">
        <f t="shared" si="2"/>
        <v>14949786.680000022</v>
      </c>
      <c r="E15" s="30">
        <f t="shared" si="2"/>
        <v>-11702382.340000004</v>
      </c>
      <c r="F15" s="30">
        <f t="shared" si="2"/>
        <v>-25152465.159999996</v>
      </c>
      <c r="G15" s="30">
        <f t="shared" si="2"/>
        <v>4700000</v>
      </c>
      <c r="H15" s="30">
        <f t="shared" si="2"/>
        <v>4600000</v>
      </c>
    </row>
    <row r="16" spans="1:8" ht="12.75">
      <c r="A16" s="91" t="s">
        <v>163</v>
      </c>
      <c r="B16" s="91"/>
      <c r="C16" s="91"/>
      <c r="D16" s="91"/>
      <c r="E16" s="91"/>
      <c r="F16" s="91"/>
      <c r="G16" s="91"/>
      <c r="H16" s="91"/>
    </row>
  </sheetData>
  <sheetProtection/>
  <mergeCells count="3">
    <mergeCell ref="A1:A2"/>
    <mergeCell ref="A14:A15"/>
    <mergeCell ref="A16:H16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&amp;CMEMÓRIA E METODOLOGIA IV      
Prefeitura Municipal de Santa Maria       
Lei de Diretrizes Orçamentárias       
Memória e Metodologia de Cálculo       
METAS ANUAIS PARA O RESULTADO NOMINAL       
2017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C5" sqref="C5"/>
    </sheetView>
  </sheetViews>
  <sheetFormatPr defaultColWidth="11.140625" defaultRowHeight="12.75"/>
  <cols>
    <col min="1" max="1" width="34.7109375" style="1" customWidth="1"/>
    <col min="2" max="8" width="13.28125" style="1" customWidth="1"/>
    <col min="9" max="16384" width="11.140625" style="1" customWidth="1"/>
  </cols>
  <sheetData>
    <row r="1" spans="1:256" ht="35.25" customHeight="1">
      <c r="A1" s="28" t="s">
        <v>58</v>
      </c>
      <c r="B1" s="66">
        <v>2013</v>
      </c>
      <c r="C1" s="66">
        <v>2014</v>
      </c>
      <c r="D1" s="66">
        <v>2015</v>
      </c>
      <c r="E1" s="66">
        <v>2016</v>
      </c>
      <c r="F1" s="66">
        <v>2017</v>
      </c>
      <c r="G1" s="66">
        <v>2018</v>
      </c>
      <c r="H1" s="66">
        <v>2019</v>
      </c>
      <c r="IV1"/>
    </row>
    <row r="2" spans="1:256" ht="16.5" customHeight="1">
      <c r="A2" s="29" t="s">
        <v>149</v>
      </c>
      <c r="B2" s="26">
        <f aca="true" t="shared" si="0" ref="B2:H2">B3+B4</f>
        <v>110699919.79</v>
      </c>
      <c r="C2" s="26">
        <f t="shared" si="0"/>
        <v>110010048.46</v>
      </c>
      <c r="D2" s="26">
        <f t="shared" si="0"/>
        <v>140002465.16</v>
      </c>
      <c r="E2" s="26">
        <f t="shared" si="0"/>
        <v>115002465.16</v>
      </c>
      <c r="F2" s="26">
        <f t="shared" si="0"/>
        <v>90000000</v>
      </c>
      <c r="G2" s="26">
        <f t="shared" si="0"/>
        <v>75000000</v>
      </c>
      <c r="H2" s="26">
        <f t="shared" si="0"/>
        <v>60000000</v>
      </c>
      <c r="IV2"/>
    </row>
    <row r="3" spans="1:256" ht="16.5" customHeight="1">
      <c r="A3" s="31" t="s">
        <v>150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V3"/>
    </row>
    <row r="4" spans="1:256" ht="16.5" customHeight="1">
      <c r="A4" s="31" t="s">
        <v>151</v>
      </c>
      <c r="B4" s="26">
        <v>110699919.79</v>
      </c>
      <c r="C4" s="26">
        <v>110010048.46</v>
      </c>
      <c r="D4" s="26">
        <v>140002465.16</v>
      </c>
      <c r="E4" s="26">
        <f>D4-25000000</f>
        <v>115002465.16</v>
      </c>
      <c r="F4" s="26">
        <v>90000000</v>
      </c>
      <c r="G4" s="26">
        <v>75000000</v>
      </c>
      <c r="H4" s="26">
        <v>60000000</v>
      </c>
      <c r="IV4"/>
    </row>
    <row r="5" spans="1:256" s="2" customFormat="1" ht="16.5" customHeight="1">
      <c r="A5" s="29" t="s">
        <v>152</v>
      </c>
      <c r="B5" s="30">
        <f aca="true" t="shared" si="1" ref="B5:H5">B6+B7-B8</f>
        <v>155225033.07999998</v>
      </c>
      <c r="C5" s="30">
        <f t="shared" si="1"/>
        <v>187304987.64000002</v>
      </c>
      <c r="D5" s="30">
        <f t="shared" si="1"/>
        <v>202347617.66</v>
      </c>
      <c r="E5" s="30">
        <f t="shared" si="1"/>
        <v>189050000</v>
      </c>
      <c r="F5" s="30">
        <f t="shared" si="1"/>
        <v>189200000</v>
      </c>
      <c r="G5" s="30">
        <f t="shared" si="1"/>
        <v>169500000</v>
      </c>
      <c r="H5" s="30">
        <f t="shared" si="1"/>
        <v>149900000</v>
      </c>
      <c r="IV5"/>
    </row>
    <row r="6" spans="1:256" ht="16.5" customHeight="1">
      <c r="A6" s="31" t="s">
        <v>133</v>
      </c>
      <c r="B6" s="26">
        <v>174697234.67</v>
      </c>
      <c r="C6" s="26">
        <v>188149400.9</v>
      </c>
      <c r="D6" s="26">
        <v>203326694.95</v>
      </c>
      <c r="E6" s="26">
        <v>190000000</v>
      </c>
      <c r="F6" s="26">
        <v>190000000</v>
      </c>
      <c r="G6" s="26">
        <v>170000000</v>
      </c>
      <c r="H6" s="26">
        <v>150000000</v>
      </c>
      <c r="IV6"/>
    </row>
    <row r="7" spans="1:256" ht="16.5" customHeight="1">
      <c r="A7" s="31" t="s">
        <v>134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V7"/>
    </row>
    <row r="8" spans="1:256" ht="16.5" customHeight="1">
      <c r="A8" s="31" t="s">
        <v>153</v>
      </c>
      <c r="B8" s="26">
        <v>19472201.59</v>
      </c>
      <c r="C8" s="26">
        <v>844413.26</v>
      </c>
      <c r="D8" s="26">
        <v>979077.29</v>
      </c>
      <c r="E8" s="26">
        <v>950000</v>
      </c>
      <c r="F8" s="26">
        <v>800000</v>
      </c>
      <c r="G8" s="26">
        <v>500000</v>
      </c>
      <c r="H8" s="26">
        <v>100000</v>
      </c>
      <c r="IV8"/>
    </row>
    <row r="9" spans="1:256" ht="16.5" customHeight="1">
      <c r="A9" s="29" t="s">
        <v>136</v>
      </c>
      <c r="B9" s="26"/>
      <c r="C9" s="26"/>
      <c r="D9" s="26"/>
      <c r="E9" s="26"/>
      <c r="F9" s="26"/>
      <c r="G9" s="26"/>
      <c r="H9" s="26"/>
      <c r="IV9"/>
    </row>
    <row r="10" spans="1:256" ht="16.5" customHeight="1">
      <c r="A10" s="31" t="s">
        <v>154</v>
      </c>
      <c r="B10" s="26"/>
      <c r="C10" s="26"/>
      <c r="D10" s="26"/>
      <c r="E10" s="26"/>
      <c r="F10" s="26"/>
      <c r="G10" s="26"/>
      <c r="H10" s="26"/>
      <c r="IV10"/>
    </row>
    <row r="11" spans="1:256" s="2" customFormat="1" ht="16.5" customHeight="1">
      <c r="A11" s="29" t="s">
        <v>155</v>
      </c>
      <c r="B11" s="30">
        <f aca="true" t="shared" si="2" ref="B11:H11">B2-B5</f>
        <v>-44525113.28999998</v>
      </c>
      <c r="C11" s="30">
        <f t="shared" si="2"/>
        <v>-77294939.18000002</v>
      </c>
      <c r="D11" s="30">
        <f t="shared" si="2"/>
        <v>-62345152.5</v>
      </c>
      <c r="E11" s="30">
        <f t="shared" si="2"/>
        <v>-74047534.84</v>
      </c>
      <c r="F11" s="30">
        <f t="shared" si="2"/>
        <v>-99200000</v>
      </c>
      <c r="G11" s="30">
        <f t="shared" si="2"/>
        <v>-94500000</v>
      </c>
      <c r="H11" s="30">
        <f t="shared" si="2"/>
        <v>-89900000</v>
      </c>
      <c r="IV11"/>
    </row>
    <row r="12" spans="1:9" ht="12.75">
      <c r="A12" s="91" t="s">
        <v>163</v>
      </c>
      <c r="B12" s="91"/>
      <c r="C12" s="91"/>
      <c r="D12" s="91"/>
      <c r="E12" s="91"/>
      <c r="F12" s="91"/>
      <c r="G12" s="91"/>
      <c r="H12" s="91"/>
      <c r="I12" s="4"/>
    </row>
  </sheetData>
  <sheetProtection/>
  <mergeCells count="1">
    <mergeCell ref="A12:H12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&amp;CMEMÓRIA E METODOLOGIA V        
Prefeitura Municipal de Santa Maria        
Lei de Diretrizes Orçamentárias        
Memória e Metodologia de Cálculo        
METAS ANUAIS PARA O MONTANTE DA DÍVIDA PÚBLICA        
2017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dirlegis5</cp:lastModifiedBy>
  <cp:lastPrinted>2016-07-20T12:16:23Z</cp:lastPrinted>
  <dcterms:created xsi:type="dcterms:W3CDTF">2005-08-10T14:30:36Z</dcterms:created>
  <dcterms:modified xsi:type="dcterms:W3CDTF">2016-10-25T11:20:53Z</dcterms:modified>
  <cp:category/>
  <cp:version/>
  <cp:contentType/>
  <cp:contentStatus/>
  <cp:revision>2</cp:revision>
</cp:coreProperties>
</file>