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<sst xmlns="http://schemas.openxmlformats.org/spreadsheetml/2006/main" count="90" uniqueCount="43">
  <si>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</si>
  <si>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</si>
  <si>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</si>
  <si>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</si>
  <si>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</si>
  <si>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</si>
  <si>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</si>
  <si>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</si>
  <si>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</si>
  <si>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</si>
  <si>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</si>
  <si>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</si>
  <si>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</si>
  <si>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</si>
  <si>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</si>
  <si>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</si>
  <si>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</si>
  <si>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</si>
  <si>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</si>
  <si>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</si>
  <si>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</si>
  <si>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</si>
  <si>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</si>
  <si>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</si>
  <si>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TRIBUTÁRIA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</si>
  <si>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</si>
  <si>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</si>
  <si>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</si>
  <si>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</si>
  <si>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</si>
  <si>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</si>
  <si>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</si>
  <si>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</si>
  <si>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</si>
  <si>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</si>
  <si>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</si>
  <si>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</si>
  <si>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</si>
  <si>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</si>
  <si>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</si>
  <si>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ANEXO I – METAS DE ARRECADAÇÃO PARA O EXERCÍCIO 2017</t>
  </si>
  <si>
    <t>PROJEÇÃO PERCENTUAL DA ARRECADAÇÃO MENSAL – 2017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</si>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</sst>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3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17.421875" defaultRowHeight="12.75"/>
  <cols>
    <col min="1" max="1" width="21.14062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1" t="s">
        <v>0</v>
      </c>
      <c r="B2" s="27" t="s">
        <v>40</v>
      </c>
      <c r="C2" s="28"/>
      <c r="D2" s="28"/>
      <c r="E2" s="28"/>
      <c r="F2" s="28"/>
      <c r="G2" s="28"/>
      <c r="H2" s="28"/>
      <c r="I2" s="28"/>
      <c r="J2" s="28"/>
      <c r="K2" s="27" t="s">
        <v>40</v>
      </c>
      <c r="L2" s="28"/>
      <c r="M2" s="28"/>
      <c r="N2" s="28"/>
      <c r="O2" s="28"/>
      <c r="P2" s="28"/>
      <c r="Q2" s="28"/>
      <c r="R2" s="28"/>
      <c r="S2" s="28"/>
      <c r="T2" s="29"/>
      <c r="U2" s="3"/>
      <c r="V2" s="3"/>
    </row>
    <row r="3" spans="1:22" s="4" customFormat="1" ht="12.75" customHeight="1">
      <c r="A3" s="31"/>
      <c r="B3" s="5" t="s">
        <v>1</v>
      </c>
      <c r="C3" s="5" t="s">
        <v>2</v>
      </c>
      <c r="D3" s="32" t="s">
        <v>3</v>
      </c>
      <c r="E3" s="5" t="s">
        <v>4</v>
      </c>
      <c r="F3" s="5" t="s">
        <v>5</v>
      </c>
      <c r="G3" s="32" t="s">
        <v>6</v>
      </c>
      <c r="H3" s="5" t="s">
        <v>7</v>
      </c>
      <c r="I3" s="5" t="s">
        <v>8</v>
      </c>
      <c r="J3" s="32" t="s">
        <v>9</v>
      </c>
      <c r="K3" s="5" t="s">
        <v>10</v>
      </c>
      <c r="L3" s="5" t="s">
        <v>11</v>
      </c>
      <c r="M3" s="32" t="s">
        <v>12</v>
      </c>
      <c r="N3" s="5" t="s">
        <v>13</v>
      </c>
      <c r="O3" s="5" t="s">
        <v>14</v>
      </c>
      <c r="P3" s="32" t="s">
        <v>15</v>
      </c>
      <c r="Q3" s="5" t="s">
        <v>16</v>
      </c>
      <c r="R3" s="5" t="s">
        <v>17</v>
      </c>
      <c r="S3" s="32" t="s">
        <v>18</v>
      </c>
      <c r="T3" s="26" t="s">
        <v>19</v>
      </c>
      <c r="U3" s="24"/>
      <c r="V3" s="25"/>
    </row>
    <row r="4" spans="1:22" s="4" customFormat="1" ht="12.75" customHeight="1">
      <c r="A4" s="31"/>
      <c r="B4" s="6" t="s">
        <v>42</v>
      </c>
      <c r="C4" s="6" t="s">
        <v>42</v>
      </c>
      <c r="D4" s="32"/>
      <c r="E4" s="6" t="s">
        <v>42</v>
      </c>
      <c r="F4" s="6" t="s">
        <v>42</v>
      </c>
      <c r="G4" s="32"/>
      <c r="H4" s="6" t="s">
        <v>20</v>
      </c>
      <c r="I4" s="6" t="s">
        <v>20</v>
      </c>
      <c r="J4" s="32"/>
      <c r="K4" s="6" t="s">
        <v>20</v>
      </c>
      <c r="L4" s="6" t="s">
        <v>20</v>
      </c>
      <c r="M4" s="32"/>
      <c r="N4" s="6" t="s">
        <v>20</v>
      </c>
      <c r="O4" s="6" t="s">
        <v>20</v>
      </c>
      <c r="P4" s="32"/>
      <c r="Q4" s="6" t="s">
        <v>20</v>
      </c>
      <c r="R4" s="6" t="s">
        <v>20</v>
      </c>
      <c r="S4" s="32"/>
      <c r="T4" s="6" t="s">
        <v>20</v>
      </c>
      <c r="U4" s="6" t="s">
        <v>21</v>
      </c>
      <c r="V4" s="7" t="s">
        <v>22</v>
      </c>
    </row>
    <row r="5" spans="1:22" s="2" customFormat="1" ht="12.75" customHeight="1">
      <c r="A5" s="8" t="s">
        <v>23</v>
      </c>
      <c r="B5" s="8">
        <f aca="true" t="shared" si="0" ref="B5:S5">SUM(B6+B7+B8+B9+B10+B11+B12)</f>
        <v>70462468.03999999</v>
      </c>
      <c r="C5" s="8">
        <f t="shared" si="0"/>
        <v>37131992.699999996</v>
      </c>
      <c r="D5" s="9">
        <f t="shared" si="0"/>
        <v>107594460.74000001</v>
      </c>
      <c r="E5" s="8">
        <f t="shared" si="0"/>
        <v>41059617.37</v>
      </c>
      <c r="F5" s="8">
        <f t="shared" si="0"/>
        <v>48246678.160000004</v>
      </c>
      <c r="G5" s="10">
        <f t="shared" si="0"/>
        <v>89306295.53</v>
      </c>
      <c r="H5" s="8">
        <f t="shared" si="0"/>
        <v>47032472.86</v>
      </c>
      <c r="I5" s="8">
        <f t="shared" si="0"/>
        <v>35818095.09</v>
      </c>
      <c r="J5" s="10">
        <f t="shared" si="0"/>
        <v>82850567.95</v>
      </c>
      <c r="K5" s="8">
        <f t="shared" si="0"/>
        <v>38334775.11000001</v>
      </c>
      <c r="L5" s="8">
        <f t="shared" si="0"/>
        <v>38134902.2</v>
      </c>
      <c r="M5" s="10">
        <f t="shared" si="0"/>
        <v>76469677.31</v>
      </c>
      <c r="N5" s="8">
        <f t="shared" si="0"/>
        <v>35958865.86000001</v>
      </c>
      <c r="O5" s="8">
        <f t="shared" si="0"/>
        <v>40632777.16</v>
      </c>
      <c r="P5" s="10">
        <f t="shared" si="0"/>
        <v>76591643.02</v>
      </c>
      <c r="Q5" s="8">
        <f t="shared" si="0"/>
        <v>46407601.27</v>
      </c>
      <c r="R5" s="8">
        <f t="shared" si="0"/>
        <v>60016156.31</v>
      </c>
      <c r="S5" s="10">
        <f t="shared" si="0"/>
        <v>106423757.58</v>
      </c>
      <c r="T5" s="8">
        <f>SUM(T6+T7+T8+T9+T10+T11+T12)</f>
        <v>539236402.13</v>
      </c>
      <c r="U5" s="8">
        <f>SUM(U6:U12)</f>
        <v>972049046.68</v>
      </c>
      <c r="V5" s="11">
        <f aca="true" t="shared" si="1" ref="V5:V20">U5-T5</f>
        <v>432812644.54999995</v>
      </c>
    </row>
    <row r="6" spans="1:22" s="1" customFormat="1" ht="12.75" customHeight="1">
      <c r="A6" s="12" t="s">
        <v>24</v>
      </c>
      <c r="B6" s="13">
        <f>33502866.37-22.31-10168.47-22449-782.44</f>
        <v>33469444.150000002</v>
      </c>
      <c r="C6" s="13">
        <f>11034954.56-20936.38-3552.18</f>
        <v>11010466</v>
      </c>
      <c r="D6" s="9">
        <f aca="true" t="shared" si="2" ref="D6:D12">SUM(B6:C6)</f>
        <v>44479910.150000006</v>
      </c>
      <c r="E6" s="13">
        <f>10972415.73-13896.58-441.87</f>
        <v>10958077.280000001</v>
      </c>
      <c r="F6" s="13">
        <f>12333073.24-7156.07-942.19</f>
        <v>12324974.98</v>
      </c>
      <c r="G6" s="9">
        <f aca="true" t="shared" si="3" ref="G6:G12">SUM(E6:F6)</f>
        <v>23283052.26</v>
      </c>
      <c r="H6" s="13">
        <v>14818295.43</v>
      </c>
      <c r="I6" s="13">
        <v>11285035.23</v>
      </c>
      <c r="J6" s="9">
        <f aca="true" t="shared" si="4" ref="J6:J12">SUM(H6:I6)</f>
        <v>26103330.66</v>
      </c>
      <c r="K6" s="13">
        <v>12077953.54</v>
      </c>
      <c r="L6" s="13">
        <v>12014980.54</v>
      </c>
      <c r="M6" s="9">
        <f aca="true" t="shared" si="5" ref="M6:M12">SUM(K6:L6)</f>
        <v>24092934.08</v>
      </c>
      <c r="N6" s="13">
        <v>11329387.22</v>
      </c>
      <c r="O6" s="13">
        <v>12801974.01</v>
      </c>
      <c r="P6" s="9">
        <f aca="true" t="shared" si="6" ref="P6:P12">SUM(N6:O6)</f>
        <v>24131361.23</v>
      </c>
      <c r="Q6" s="13">
        <v>14621420.1</v>
      </c>
      <c r="R6" s="13">
        <v>18909002.22</v>
      </c>
      <c r="S6" s="9">
        <f aca="true" t="shared" si="7" ref="S6:S11">SUM(Q6:R6)</f>
        <v>33530422.32</v>
      </c>
      <c r="T6" s="12">
        <f aca="true" t="shared" si="8" ref="T6:T12">D6+G6+J6+M6+P6+S6</f>
        <v>175621010.7</v>
      </c>
      <c r="U6" s="12">
        <f aca="true" t="shared" si="9" ref="U6:U20">SUM(B6:R6)</f>
        <v>317711599.08000004</v>
      </c>
      <c r="V6" s="14">
        <f t="shared" si="1"/>
        <v>142090588.38000005</v>
      </c>
    </row>
    <row r="7" spans="1:22" s="1" customFormat="1" ht="12.75" customHeight="1">
      <c r="A7" s="12" t="s">
        <v>25</v>
      </c>
      <c r="B7" s="13">
        <f>965253.85</f>
        <v>965253.85</v>
      </c>
      <c r="C7" s="13">
        <f>710518.8-6.35</f>
        <v>710512.4500000001</v>
      </c>
      <c r="D7" s="9">
        <f t="shared" si="2"/>
        <v>1675766.3</v>
      </c>
      <c r="E7" s="13">
        <v>699567.95</v>
      </c>
      <c r="F7" s="13">
        <v>762534.18</v>
      </c>
      <c r="G7" s="9">
        <f t="shared" si="3"/>
        <v>1462102.13</v>
      </c>
      <c r="H7" s="13">
        <v>810583.36</v>
      </c>
      <c r="I7" s="13">
        <v>617308.64</v>
      </c>
      <c r="J7" s="9">
        <f t="shared" si="4"/>
        <v>1427892</v>
      </c>
      <c r="K7" s="13">
        <v>660682.48</v>
      </c>
      <c r="L7" s="13">
        <v>657237.76</v>
      </c>
      <c r="M7" s="9">
        <f t="shared" si="5"/>
        <v>1317920.24</v>
      </c>
      <c r="N7" s="13">
        <v>619734.76</v>
      </c>
      <c r="O7" s="13">
        <v>700287.5</v>
      </c>
      <c r="P7" s="9">
        <f t="shared" si="6"/>
        <v>1320022.26</v>
      </c>
      <c r="Q7" s="13">
        <v>799813.98</v>
      </c>
      <c r="R7" s="13">
        <v>1034351.26</v>
      </c>
      <c r="S7" s="9">
        <f t="shared" si="7"/>
        <v>1834165.24</v>
      </c>
      <c r="T7" s="12">
        <f t="shared" si="8"/>
        <v>9037868.17</v>
      </c>
      <c r="U7" s="12">
        <f t="shared" si="9"/>
        <v>16241571.1</v>
      </c>
      <c r="V7" s="14">
        <f t="shared" si="1"/>
        <v>7203702.93</v>
      </c>
    </row>
    <row r="8" spans="1:22" s="1" customFormat="1" ht="12.75" customHeight="1">
      <c r="A8" s="12" t="s">
        <v>26</v>
      </c>
      <c r="B8" s="13">
        <f>740151.16</f>
        <v>740151.16</v>
      </c>
      <c r="C8" s="13">
        <f>791037.1</f>
        <v>791037.1</v>
      </c>
      <c r="D8" s="9">
        <f t="shared" si="2"/>
        <v>1531188.26</v>
      </c>
      <c r="E8" s="13">
        <f>930753.59-24958.48</f>
        <v>905795.11</v>
      </c>
      <c r="F8" s="13">
        <f>735941.07-26626.45</f>
        <v>709314.62</v>
      </c>
      <c r="G8" s="9">
        <f t="shared" si="3"/>
        <v>1615109.73</v>
      </c>
      <c r="H8" s="13">
        <v>919853.04</v>
      </c>
      <c r="I8" s="13">
        <v>700524.19</v>
      </c>
      <c r="J8" s="9">
        <f t="shared" si="4"/>
        <v>1620377.23</v>
      </c>
      <c r="K8" s="13">
        <v>749744.96</v>
      </c>
      <c r="L8" s="13">
        <v>745835.92</v>
      </c>
      <c r="M8" s="9">
        <f t="shared" si="5"/>
        <v>1495580.88</v>
      </c>
      <c r="N8" s="13">
        <v>703277.36</v>
      </c>
      <c r="O8" s="13">
        <v>794688.96</v>
      </c>
      <c r="P8" s="9">
        <f t="shared" si="6"/>
        <v>1497966.3199999998</v>
      </c>
      <c r="Q8" s="13">
        <v>907631.97</v>
      </c>
      <c r="R8" s="13">
        <v>1173785.75</v>
      </c>
      <c r="S8" s="9">
        <f t="shared" si="7"/>
        <v>2081417.72</v>
      </c>
      <c r="T8" s="12">
        <f t="shared" si="8"/>
        <v>9841640.14</v>
      </c>
      <c r="U8" s="12">
        <f t="shared" si="9"/>
        <v>17601862.560000002</v>
      </c>
      <c r="V8" s="14">
        <f t="shared" si="1"/>
        <v>7760222.420000002</v>
      </c>
    </row>
    <row r="9" spans="1:22" s="1" customFormat="1" ht="12.75" customHeight="1" hidden="1">
      <c r="A9" s="12" t="s">
        <v>27</v>
      </c>
      <c r="B9" s="13">
        <v>0</v>
      </c>
      <c r="C9" s="13"/>
      <c r="D9" s="9">
        <f t="shared" si="2"/>
        <v>0</v>
      </c>
      <c r="E9" s="13"/>
      <c r="F9" s="13"/>
      <c r="G9" s="9">
        <f t="shared" si="3"/>
        <v>0</v>
      </c>
      <c r="H9" s="13"/>
      <c r="I9" s="13"/>
      <c r="J9" s="9">
        <f t="shared" si="4"/>
        <v>0</v>
      </c>
      <c r="K9" s="13"/>
      <c r="L9" s="13"/>
      <c r="M9" s="9">
        <f t="shared" si="5"/>
        <v>0</v>
      </c>
      <c r="N9" s="13"/>
      <c r="O9" s="13"/>
      <c r="P9" s="9">
        <f t="shared" si="6"/>
        <v>0</v>
      </c>
      <c r="Q9" s="13"/>
      <c r="R9" s="13"/>
      <c r="S9" s="9">
        <f t="shared" si="7"/>
        <v>0</v>
      </c>
      <c r="T9" s="12">
        <f t="shared" si="8"/>
        <v>0</v>
      </c>
      <c r="U9" s="12">
        <f t="shared" si="9"/>
        <v>0</v>
      </c>
      <c r="V9" s="14">
        <f t="shared" si="1"/>
        <v>0</v>
      </c>
    </row>
    <row r="10" spans="1:22" s="1" customFormat="1" ht="12.75" customHeight="1">
      <c r="A10" s="12" t="s">
        <v>28</v>
      </c>
      <c r="B10" s="13">
        <f>279066.37</f>
        <v>279066.37</v>
      </c>
      <c r="C10" s="13">
        <f>179567.01</f>
        <v>179567.01</v>
      </c>
      <c r="D10" s="9">
        <f t="shared" si="2"/>
        <v>458633.38</v>
      </c>
      <c r="E10" s="13">
        <v>247170.72</v>
      </c>
      <c r="F10" s="13">
        <v>345183.26</v>
      </c>
      <c r="G10" s="9">
        <f t="shared" si="3"/>
        <v>592353.98</v>
      </c>
      <c r="H10" s="13">
        <v>269852.83</v>
      </c>
      <c r="I10" s="13">
        <v>205509.38</v>
      </c>
      <c r="J10" s="9">
        <f t="shared" si="4"/>
        <v>475362.21</v>
      </c>
      <c r="K10" s="13">
        <v>219949.05</v>
      </c>
      <c r="L10" s="13">
        <v>218802.26</v>
      </c>
      <c r="M10" s="9">
        <f t="shared" si="5"/>
        <v>438751.31</v>
      </c>
      <c r="N10" s="13">
        <v>206317.06</v>
      </c>
      <c r="O10" s="13">
        <v>233134.03</v>
      </c>
      <c r="P10" s="9">
        <f t="shared" si="6"/>
        <v>439451.08999999997</v>
      </c>
      <c r="Q10" s="13">
        <v>266267.58</v>
      </c>
      <c r="R10" s="13">
        <v>344347.82</v>
      </c>
      <c r="S10" s="9">
        <f>SUM(Q10:R10)</f>
        <v>610615.4</v>
      </c>
      <c r="T10" s="12">
        <f>D10+G10+J10+M10+P10+S10</f>
        <v>3015167.3699999996</v>
      </c>
      <c r="U10" s="12">
        <f t="shared" si="9"/>
        <v>5419719.34</v>
      </c>
      <c r="V10" s="14">
        <f t="shared" si="1"/>
        <v>2404551.97</v>
      </c>
    </row>
    <row r="11" spans="1:22" s="1" customFormat="1" ht="12.75" customHeight="1">
      <c r="A11" s="12" t="s">
        <v>29</v>
      </c>
      <c r="B11" s="13">
        <f>33172937.68</f>
        <v>33172937.68</v>
      </c>
      <c r="C11" s="13">
        <f>23244185.32</f>
        <v>23244185.32</v>
      </c>
      <c r="D11" s="9">
        <f t="shared" si="2"/>
        <v>56417123</v>
      </c>
      <c r="E11" s="13">
        <v>26388170.77</v>
      </c>
      <c r="F11" s="13">
        <v>32474850.41</v>
      </c>
      <c r="G11" s="9">
        <f t="shared" si="3"/>
        <v>58863021.18</v>
      </c>
      <c r="H11" s="13">
        <v>28718992.17</v>
      </c>
      <c r="I11" s="13">
        <v>21871263.18</v>
      </c>
      <c r="J11" s="9">
        <f t="shared" si="4"/>
        <v>50590255.35</v>
      </c>
      <c r="K11" s="13">
        <v>23407999.59</v>
      </c>
      <c r="L11" s="13">
        <v>23285953.09</v>
      </c>
      <c r="M11" s="9">
        <f t="shared" si="5"/>
        <v>46693952.68</v>
      </c>
      <c r="N11" s="13">
        <v>21957220.69</v>
      </c>
      <c r="O11" s="13">
        <v>24811206.69</v>
      </c>
      <c r="P11" s="9">
        <f t="shared" si="6"/>
        <v>46768427.38</v>
      </c>
      <c r="Q11" s="13">
        <v>28337432.72</v>
      </c>
      <c r="R11" s="13">
        <v>36647095.42</v>
      </c>
      <c r="S11" s="9">
        <f t="shared" si="7"/>
        <v>64984528.14</v>
      </c>
      <c r="T11" s="12">
        <f t="shared" si="8"/>
        <v>324317307.73</v>
      </c>
      <c r="U11" s="12">
        <f t="shared" si="9"/>
        <v>583650087.3199999</v>
      </c>
      <c r="V11" s="14">
        <f t="shared" si="1"/>
        <v>259332779.5899999</v>
      </c>
    </row>
    <row r="12" spans="1:22" s="1" customFormat="1" ht="12.75" customHeight="1">
      <c r="A12" s="12" t="s">
        <v>30</v>
      </c>
      <c r="B12" s="13">
        <f>1838975.59-3.9-1905.51-1451.35</f>
        <v>1835614.83</v>
      </c>
      <c r="C12" s="13">
        <f>1197592.39-322.82-12.49-206.41-825.85</f>
        <v>1196224.8199999998</v>
      </c>
      <c r="D12" s="9">
        <f t="shared" si="2"/>
        <v>3031839.65</v>
      </c>
      <c r="E12" s="13">
        <f>1861718.15-882.61</f>
        <v>1860835.5399999998</v>
      </c>
      <c r="F12" s="13">
        <f>1646549.48-2017-14711.77</f>
        <v>1629820.71</v>
      </c>
      <c r="G12" s="9">
        <f t="shared" si="3"/>
        <v>3490656.25</v>
      </c>
      <c r="H12" s="13">
        <v>1494896.03</v>
      </c>
      <c r="I12" s="13">
        <v>1138454.47</v>
      </c>
      <c r="J12" s="9">
        <f t="shared" si="4"/>
        <v>2633350.5</v>
      </c>
      <c r="K12" s="13">
        <v>1218445.49</v>
      </c>
      <c r="L12" s="13">
        <v>1212092.63</v>
      </c>
      <c r="M12" s="9">
        <f t="shared" si="5"/>
        <v>2430538.12</v>
      </c>
      <c r="N12" s="13">
        <v>1142928.77</v>
      </c>
      <c r="O12" s="13">
        <v>1291485.97</v>
      </c>
      <c r="P12" s="9">
        <f t="shared" si="6"/>
        <v>2434414.74</v>
      </c>
      <c r="Q12" s="13">
        <v>1475034.92</v>
      </c>
      <c r="R12" s="13">
        <v>1907573.84</v>
      </c>
      <c r="S12" s="9">
        <f>SUM(Q12:R12)</f>
        <v>3382608.76</v>
      </c>
      <c r="T12" s="12">
        <f t="shared" si="8"/>
        <v>17403408.02</v>
      </c>
      <c r="U12" s="12">
        <f t="shared" si="9"/>
        <v>31424207.279999997</v>
      </c>
      <c r="V12" s="14">
        <f t="shared" si="1"/>
        <v>14020799.259999998</v>
      </c>
    </row>
    <row r="13" spans="1:22" s="1" customFormat="1" ht="12.75" customHeight="1">
      <c r="A13" s="8" t="s">
        <v>31</v>
      </c>
      <c r="B13" s="8">
        <f>B15+B16+B14+B17</f>
        <v>403839.19</v>
      </c>
      <c r="C13" s="8">
        <f>C15+C16+C14+C17+C18</f>
        <v>982605.45</v>
      </c>
      <c r="D13" s="10">
        <f>D15+D16+D14+D17+D18</f>
        <v>1386444.6400000001</v>
      </c>
      <c r="E13" s="8">
        <f>E15+E16+E14+E17+E18</f>
        <v>401558.5</v>
      </c>
      <c r="F13" s="8">
        <f>F15+F16+F14+F17+F18</f>
        <v>390333.63999999996</v>
      </c>
      <c r="G13" s="10">
        <f aca="true" t="shared" si="10" ref="G13:L13">G15+G16+G14+G17+G18</f>
        <v>791892.14</v>
      </c>
      <c r="H13" s="8">
        <f t="shared" si="10"/>
        <v>6206659.73</v>
      </c>
      <c r="I13" s="8">
        <f t="shared" si="10"/>
        <v>4726749.73</v>
      </c>
      <c r="J13" s="10">
        <f t="shared" si="10"/>
        <v>10933409.46</v>
      </c>
      <c r="K13" s="8">
        <f t="shared" si="10"/>
        <v>5058864.45</v>
      </c>
      <c r="L13" s="8">
        <f t="shared" si="10"/>
        <v>5032488.12</v>
      </c>
      <c r="M13" s="10">
        <f aca="true" t="shared" si="11" ref="M13:S13">M15+M16+M14+M17</f>
        <v>10091352.57</v>
      </c>
      <c r="N13" s="8">
        <f t="shared" si="11"/>
        <v>4745326.6</v>
      </c>
      <c r="O13" s="8">
        <f t="shared" si="11"/>
        <v>5362121.24</v>
      </c>
      <c r="P13" s="10">
        <f t="shared" si="11"/>
        <v>10107447.84</v>
      </c>
      <c r="Q13" s="8">
        <f t="shared" si="11"/>
        <v>6124198.279999999</v>
      </c>
      <c r="R13" s="8">
        <f t="shared" si="11"/>
        <v>7920056.87</v>
      </c>
      <c r="S13" s="10">
        <f t="shared" si="11"/>
        <v>14044255.15</v>
      </c>
      <c r="T13" s="8">
        <f>T15+T16+T14+T17+T18</f>
        <v>47354801.800000004</v>
      </c>
      <c r="U13" s="8">
        <f t="shared" si="9"/>
        <v>80665348.45000002</v>
      </c>
      <c r="V13" s="11">
        <f t="shared" si="1"/>
        <v>33310546.650000013</v>
      </c>
    </row>
    <row r="14" spans="1:22" s="1" customFormat="1" ht="12.75" customHeight="1">
      <c r="A14" s="12" t="s">
        <v>32</v>
      </c>
      <c r="B14" s="12">
        <v>0</v>
      </c>
      <c r="C14" s="14">
        <f>90177.69</f>
        <v>90177.69</v>
      </c>
      <c r="D14" s="9">
        <f aca="true" t="shared" si="12" ref="D14:D20">SUM(B14:C14)</f>
        <v>90177.69</v>
      </c>
      <c r="E14" s="12">
        <v>0</v>
      </c>
      <c r="F14" s="12">
        <v>302162.79</v>
      </c>
      <c r="G14" s="9">
        <f aca="true" t="shared" si="13" ref="G14:G20">SUM(E14:F14)</f>
        <v>302162.79</v>
      </c>
      <c r="H14" s="12">
        <v>1300000</v>
      </c>
      <c r="I14" s="12">
        <v>1800000</v>
      </c>
      <c r="J14" s="9">
        <f aca="true" t="shared" si="14" ref="J14:J20">SUM(H14:I14)</f>
        <v>3100000</v>
      </c>
      <c r="K14" s="12">
        <v>1800000</v>
      </c>
      <c r="L14" s="12">
        <v>1800000</v>
      </c>
      <c r="M14" s="9">
        <f aca="true" t="shared" si="15" ref="M14:M20">SUM(K14:L14)</f>
        <v>3600000</v>
      </c>
      <c r="N14" s="12">
        <v>1800000</v>
      </c>
      <c r="O14" s="12">
        <v>1800000</v>
      </c>
      <c r="P14" s="9">
        <f aca="true" t="shared" si="16" ref="P14:P20">SUM(N14:O14)</f>
        <v>3600000</v>
      </c>
      <c r="Q14" s="12">
        <v>1800000</v>
      </c>
      <c r="R14" s="12">
        <v>1880000</v>
      </c>
      <c r="S14" s="9">
        <f aca="true" t="shared" si="17" ref="S14:S21">SUM(Q14:R14)</f>
        <v>3680000</v>
      </c>
      <c r="T14" s="12">
        <f aca="true" t="shared" si="18" ref="T14:T20">D14+G14+J14+M14+P14+S14</f>
        <v>14372340.48</v>
      </c>
      <c r="U14" s="12">
        <f t="shared" si="9"/>
        <v>25064680.96</v>
      </c>
      <c r="V14" s="14">
        <f t="shared" si="1"/>
        <v>10692340.48</v>
      </c>
    </row>
    <row r="15" spans="1:22" s="1" customFormat="1" ht="12.75" customHeight="1">
      <c r="A15" s="12" t="s">
        <v>33</v>
      </c>
      <c r="B15" s="12">
        <v>50229.89</v>
      </c>
      <c r="C15" s="14">
        <f>14475.9</f>
        <v>14475.9</v>
      </c>
      <c r="D15" s="9">
        <f t="shared" si="12"/>
        <v>64705.79</v>
      </c>
      <c r="E15" s="12">
        <v>29879.45</v>
      </c>
      <c r="F15" s="12">
        <v>88702.31</v>
      </c>
      <c r="G15" s="9">
        <f t="shared" si="13"/>
        <v>118581.76</v>
      </c>
      <c r="H15" s="12">
        <v>155000</v>
      </c>
      <c r="I15" s="12">
        <v>155000</v>
      </c>
      <c r="J15" s="9">
        <f t="shared" si="14"/>
        <v>310000</v>
      </c>
      <c r="K15" s="12">
        <v>155000</v>
      </c>
      <c r="L15" s="12">
        <v>155000</v>
      </c>
      <c r="M15" s="9">
        <f t="shared" si="15"/>
        <v>310000</v>
      </c>
      <c r="N15" s="12">
        <v>155000</v>
      </c>
      <c r="O15" s="12">
        <v>155000</v>
      </c>
      <c r="P15" s="9">
        <f t="shared" si="16"/>
        <v>310000</v>
      </c>
      <c r="Q15" s="12">
        <v>155000</v>
      </c>
      <c r="R15" s="12">
        <v>202800</v>
      </c>
      <c r="S15" s="9">
        <f t="shared" si="17"/>
        <v>357800</v>
      </c>
      <c r="T15" s="12">
        <f t="shared" si="18"/>
        <v>1471087.55</v>
      </c>
      <c r="U15" s="12">
        <f t="shared" si="9"/>
        <v>2584375.1</v>
      </c>
      <c r="V15" s="14">
        <f t="shared" si="1"/>
        <v>1113287.55</v>
      </c>
    </row>
    <row r="16" spans="1:22" s="1" customFormat="1" ht="12.75" customHeight="1">
      <c r="A16" s="12" t="s">
        <v>34</v>
      </c>
      <c r="B16" s="12">
        <f>5738.3</f>
        <v>5738.3</v>
      </c>
      <c r="C16" s="12">
        <v>0</v>
      </c>
      <c r="D16" s="9">
        <f t="shared" si="12"/>
        <v>5738.3</v>
      </c>
      <c r="E16" s="12">
        <v>2815.99</v>
      </c>
      <c r="F16" s="12">
        <v>0</v>
      </c>
      <c r="G16" s="9">
        <f t="shared" si="13"/>
        <v>2815.99</v>
      </c>
      <c r="H16" s="12">
        <v>0</v>
      </c>
      <c r="I16" s="12">
        <v>1500</v>
      </c>
      <c r="J16" s="9">
        <f t="shared" si="14"/>
        <v>1500</v>
      </c>
      <c r="K16" s="12">
        <v>0</v>
      </c>
      <c r="L16" s="12">
        <v>600</v>
      </c>
      <c r="M16" s="9">
        <f t="shared" si="15"/>
        <v>600</v>
      </c>
      <c r="N16" s="12">
        <v>4500</v>
      </c>
      <c r="O16" s="12">
        <v>0</v>
      </c>
      <c r="P16" s="9">
        <f t="shared" si="16"/>
        <v>4500</v>
      </c>
      <c r="Q16" s="12">
        <v>6000</v>
      </c>
      <c r="R16" s="12">
        <v>4600</v>
      </c>
      <c r="S16" s="9">
        <f t="shared" si="17"/>
        <v>10600</v>
      </c>
      <c r="T16" s="12">
        <f t="shared" si="18"/>
        <v>25754.29</v>
      </c>
      <c r="U16" s="12">
        <f t="shared" si="9"/>
        <v>40908.58</v>
      </c>
      <c r="V16" s="14">
        <f t="shared" si="1"/>
        <v>15154.29</v>
      </c>
    </row>
    <row r="17" spans="1:22" s="1" customFormat="1" ht="12.75" customHeight="1">
      <c r="A17" s="12" t="s">
        <v>35</v>
      </c>
      <c r="B17" s="12">
        <v>347871</v>
      </c>
      <c r="C17" s="12">
        <f>877500</f>
        <v>877500</v>
      </c>
      <c r="D17" s="9">
        <f t="shared" si="12"/>
        <v>1225371</v>
      </c>
      <c r="E17" s="12">
        <v>368796.44</v>
      </c>
      <c r="F17" s="12">
        <v>-796.44</v>
      </c>
      <c r="G17" s="9">
        <f t="shared" si="13"/>
        <v>368000</v>
      </c>
      <c r="H17" s="12">
        <v>4751659.73</v>
      </c>
      <c r="I17" s="12">
        <v>2770249.73</v>
      </c>
      <c r="J17" s="9">
        <f t="shared" si="14"/>
        <v>7521909.460000001</v>
      </c>
      <c r="K17" s="12">
        <v>3103864.45</v>
      </c>
      <c r="L17" s="12">
        <v>3076888.12</v>
      </c>
      <c r="M17" s="9">
        <f t="shared" si="15"/>
        <v>6180752.57</v>
      </c>
      <c r="N17" s="12">
        <v>2785826.6</v>
      </c>
      <c r="O17" s="12">
        <v>3407121.24</v>
      </c>
      <c r="P17" s="9">
        <f t="shared" si="16"/>
        <v>6192947.84</v>
      </c>
      <c r="Q17" s="12">
        <v>4163198.28</v>
      </c>
      <c r="R17" s="12">
        <v>5832656.87</v>
      </c>
      <c r="S17" s="9">
        <f t="shared" si="17"/>
        <v>9995855.15</v>
      </c>
      <c r="T17" s="12">
        <f>D17+G17+J17+M17+P17+S17</f>
        <v>31484836.020000003</v>
      </c>
      <c r="U17" s="12">
        <f t="shared" si="9"/>
        <v>52973816.89000001</v>
      </c>
      <c r="V17" s="14">
        <f t="shared" si="1"/>
        <v>21488980.870000005</v>
      </c>
    </row>
    <row r="18" spans="1:22" s="1" customFormat="1" ht="12.75" customHeight="1">
      <c r="A18" s="12" t="s">
        <v>39</v>
      </c>
      <c r="B18" s="12">
        <v>0</v>
      </c>
      <c r="C18" s="12">
        <f>451.86</f>
        <v>451.86</v>
      </c>
      <c r="D18" s="9">
        <f t="shared" si="12"/>
        <v>451.86</v>
      </c>
      <c r="E18" s="12">
        <v>66.62</v>
      </c>
      <c r="F18" s="12">
        <v>264.98</v>
      </c>
      <c r="G18" s="9">
        <f t="shared" si="13"/>
        <v>331.6</v>
      </c>
      <c r="H18" s="12">
        <v>0</v>
      </c>
      <c r="I18" s="12">
        <v>0</v>
      </c>
      <c r="J18" s="9">
        <f t="shared" si="14"/>
        <v>0</v>
      </c>
      <c r="K18" s="12">
        <v>0</v>
      </c>
      <c r="L18" s="12">
        <v>0</v>
      </c>
      <c r="M18" s="9">
        <f t="shared" si="15"/>
        <v>0</v>
      </c>
      <c r="N18" s="12">
        <v>0</v>
      </c>
      <c r="O18" s="12">
        <v>0</v>
      </c>
      <c r="P18" s="9">
        <f t="shared" si="16"/>
        <v>0</v>
      </c>
      <c r="Q18" s="12">
        <v>0</v>
      </c>
      <c r="R18" s="12">
        <v>0</v>
      </c>
      <c r="S18" s="9">
        <f t="shared" si="17"/>
        <v>0</v>
      </c>
      <c r="T18" s="12">
        <f>D18+G18+J18+M18+P18+S18</f>
        <v>783.46</v>
      </c>
      <c r="U18" s="12"/>
      <c r="V18" s="14"/>
    </row>
    <row r="19" spans="1:22" s="1" customFormat="1" ht="12.75" customHeight="1">
      <c r="A19" s="12" t="s">
        <v>37</v>
      </c>
      <c r="B19" s="12">
        <v>4488674.73</v>
      </c>
      <c r="C19" s="12">
        <v>2884022.87</v>
      </c>
      <c r="D19" s="9">
        <f t="shared" si="12"/>
        <v>7372697.600000001</v>
      </c>
      <c r="E19" s="12">
        <v>3120034.31</v>
      </c>
      <c r="F19" s="12">
        <v>4458705.18</v>
      </c>
      <c r="G19" s="9">
        <f t="shared" si="13"/>
        <v>7578739.49</v>
      </c>
      <c r="H19" s="12">
        <v>3500000</v>
      </c>
      <c r="I19" s="12">
        <v>2415000</v>
      </c>
      <c r="J19" s="9">
        <f t="shared" si="14"/>
        <v>5915000</v>
      </c>
      <c r="K19" s="12">
        <v>2885000</v>
      </c>
      <c r="L19" s="12">
        <v>2932000</v>
      </c>
      <c r="M19" s="9">
        <f t="shared" si="15"/>
        <v>5817000</v>
      </c>
      <c r="N19" s="12">
        <v>2967000</v>
      </c>
      <c r="O19" s="12">
        <v>3130000</v>
      </c>
      <c r="P19" s="9">
        <f t="shared" si="16"/>
        <v>6097000</v>
      </c>
      <c r="Q19" s="12">
        <v>3870000</v>
      </c>
      <c r="R19" s="12">
        <v>4630000</v>
      </c>
      <c r="S19" s="9">
        <f t="shared" si="17"/>
        <v>8500000</v>
      </c>
      <c r="T19" s="12">
        <f t="shared" si="18"/>
        <v>41280437.09</v>
      </c>
      <c r="U19" s="12">
        <f t="shared" si="9"/>
        <v>74060874.18</v>
      </c>
      <c r="V19" s="14">
        <f t="shared" si="1"/>
        <v>32780437.090000004</v>
      </c>
    </row>
    <row r="20" spans="1:22" s="1" customFormat="1" ht="12.75" customHeight="1">
      <c r="A20" s="12" t="s">
        <v>38</v>
      </c>
      <c r="B20" s="12">
        <f>39553.16+2045094.92</f>
        <v>2084648.0799999998</v>
      </c>
      <c r="C20" s="12">
        <f>68389.45+67820.52</f>
        <v>136209.97</v>
      </c>
      <c r="D20" s="9">
        <f t="shared" si="12"/>
        <v>2220858.05</v>
      </c>
      <c r="E20" s="12">
        <f>121574.74+381181.78</f>
        <v>502756.52</v>
      </c>
      <c r="F20" s="12">
        <f>173587.08+106922.12</f>
        <v>280509.19999999995</v>
      </c>
      <c r="G20" s="9">
        <f t="shared" si="13"/>
        <v>783265.72</v>
      </c>
      <c r="H20" s="12">
        <v>937812.58</v>
      </c>
      <c r="I20" s="12">
        <v>964664.82</v>
      </c>
      <c r="J20" s="9">
        <f t="shared" si="14"/>
        <v>1902477.4</v>
      </c>
      <c r="K20" s="12">
        <v>732129.54</v>
      </c>
      <c r="L20" s="12">
        <v>666270.26</v>
      </c>
      <c r="M20" s="9">
        <f t="shared" si="15"/>
        <v>1398399.8</v>
      </c>
      <c r="N20" s="12">
        <v>425947.42</v>
      </c>
      <c r="O20" s="12">
        <v>703960.64</v>
      </c>
      <c r="P20" s="9">
        <f t="shared" si="16"/>
        <v>1129908.06</v>
      </c>
      <c r="Q20" s="12">
        <v>508851.99</v>
      </c>
      <c r="R20" s="12">
        <v>1032905.6</v>
      </c>
      <c r="S20" s="9">
        <f t="shared" si="17"/>
        <v>1541757.5899999999</v>
      </c>
      <c r="T20" s="12">
        <f t="shared" si="18"/>
        <v>8976666.62</v>
      </c>
      <c r="U20" s="12">
        <f t="shared" si="9"/>
        <v>16411575.65</v>
      </c>
      <c r="V20" s="14">
        <f t="shared" si="1"/>
        <v>7434909.030000001</v>
      </c>
    </row>
    <row r="21" spans="1:24" s="2" customFormat="1" ht="12.75" customHeight="1">
      <c r="A21" s="8" t="s">
        <v>19</v>
      </c>
      <c r="B21" s="8">
        <f>B5+B13-B19-B20</f>
        <v>64292984.41999999</v>
      </c>
      <c r="C21" s="8">
        <f>C5+C13-C19-C20</f>
        <v>35094365.31</v>
      </c>
      <c r="D21" s="10">
        <f>D5+D13-D19-D20</f>
        <v>99387349.73000002</v>
      </c>
      <c r="E21" s="8">
        <f>E5+E13-E19-E20</f>
        <v>37838385.03999999</v>
      </c>
      <c r="F21" s="8">
        <f>F5+F13-F19-F20</f>
        <v>43897797.42</v>
      </c>
      <c r="G21" s="10">
        <f>SUM(E21:F21)</f>
        <v>81736182.46</v>
      </c>
      <c r="H21" s="8">
        <f>H5+H13-H19-H20</f>
        <v>48801320.010000005</v>
      </c>
      <c r="I21" s="8">
        <f>I5+I13-I19-I20</f>
        <v>37165180.00000001</v>
      </c>
      <c r="J21" s="10">
        <f>SUM(H21:I21)</f>
        <v>85966500.01000002</v>
      </c>
      <c r="K21" s="8">
        <f>K5+K13-K19-K20</f>
        <v>39776510.02000001</v>
      </c>
      <c r="L21" s="8">
        <f>L5+L13-L19-L20</f>
        <v>39569120.06</v>
      </c>
      <c r="M21" s="10">
        <f>SUM(K21:L21)</f>
        <v>79345630.08000001</v>
      </c>
      <c r="N21" s="8">
        <f>N5+N13-N19-N20</f>
        <v>37311245.04000001</v>
      </c>
      <c r="O21" s="8">
        <f>O5+O13-O19-O20</f>
        <v>42160937.76</v>
      </c>
      <c r="P21" s="10">
        <f>SUM(N21:O21)</f>
        <v>79472182.80000001</v>
      </c>
      <c r="Q21" s="8">
        <f>Q5+Q13-Q19-Q20</f>
        <v>48152947.56</v>
      </c>
      <c r="R21" s="8">
        <f>R5+R13-R19-R20</f>
        <v>62273307.580000006</v>
      </c>
      <c r="S21" s="10">
        <f t="shared" si="17"/>
        <v>110426255.14000002</v>
      </c>
      <c r="T21" s="8">
        <f>T5+T13-T19-T20</f>
        <v>536334100.2199999</v>
      </c>
      <c r="U21" s="8">
        <f>SUM(B21:R21)</f>
        <v>962241945.3000001</v>
      </c>
      <c r="V21" s="11">
        <f>U21-T21</f>
        <v>425907845.08000016</v>
      </c>
      <c r="W21" s="1"/>
      <c r="X21" s="1"/>
    </row>
    <row r="22" spans="1:20" s="15" customFormat="1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2" s="4" customFormat="1" ht="12.75" customHeight="1">
      <c r="A23" s="31" t="s">
        <v>0</v>
      </c>
      <c r="B23" s="27" t="s">
        <v>41</v>
      </c>
      <c r="C23" s="28"/>
      <c r="D23" s="28"/>
      <c r="E23" s="28"/>
      <c r="F23" s="28"/>
      <c r="G23" s="28"/>
      <c r="H23" s="28"/>
      <c r="I23" s="28"/>
      <c r="J23" s="28"/>
      <c r="K23" s="27" t="s">
        <v>41</v>
      </c>
      <c r="L23" s="28"/>
      <c r="M23" s="28"/>
      <c r="N23" s="28"/>
      <c r="O23" s="28"/>
      <c r="P23" s="28"/>
      <c r="Q23" s="28"/>
      <c r="R23" s="28"/>
      <c r="S23" s="28"/>
      <c r="T23" s="29"/>
      <c r="U23" s="3"/>
      <c r="V23" s="3"/>
    </row>
    <row r="24" spans="1:22" s="4" customFormat="1" ht="23.25" customHeight="1">
      <c r="A24" s="31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0.1306708296429379</v>
      </c>
      <c r="C25" s="16">
        <f>C5/$T$5</f>
        <v>0.06886032276999013</v>
      </c>
      <c r="D25" s="17">
        <f aca="true" t="shared" si="19" ref="D25:D36">SUM(B25:C25)</f>
        <v>0.19953115241292804</v>
      </c>
      <c r="E25" s="16">
        <f>E5/$T$5</f>
        <v>0.07614400142092276</v>
      </c>
      <c r="F25" s="16">
        <f>F5/$T$5</f>
        <v>0.08947222029044066</v>
      </c>
      <c r="G25" s="17">
        <f aca="true" t="shared" si="20" ref="G25:G36">SUM(E25:F25)</f>
        <v>0.16561622171136342</v>
      </c>
      <c r="H25" s="16">
        <f>H5/$T$5</f>
        <v>0.08722050787784415</v>
      </c>
      <c r="I25" s="16">
        <f>I5/$T$5</f>
        <v>0.06642373353971923</v>
      </c>
      <c r="J25" s="17">
        <f aca="true" t="shared" si="21" ref="J25:J36">SUM(H25:I25)</f>
        <v>0.1536442414175634</v>
      </c>
      <c r="K25" s="16">
        <f>K5/$T$5</f>
        <v>0.07109085172769586</v>
      </c>
      <c r="L25" s="16">
        <f>L5/$T$5</f>
        <v>0.07072019257113576</v>
      </c>
      <c r="M25" s="17">
        <f aca="true" t="shared" si="22" ref="M25:M36">SUM(K25:L25)</f>
        <v>0.14181104429883162</v>
      </c>
      <c r="N25" s="16">
        <f>N5/$T$5</f>
        <v>0.06668478930198593</v>
      </c>
      <c r="O25" s="16">
        <f>O5/$T$5</f>
        <v>0.07535243726035429</v>
      </c>
      <c r="P25" s="17">
        <f aca="true" t="shared" si="23" ref="P25:P36">SUM(N25:O25)</f>
        <v>0.14203722656234022</v>
      </c>
      <c r="Q25" s="16">
        <f>Q5/$T$5</f>
        <v>0.08606169963060466</v>
      </c>
      <c r="R25" s="16">
        <f>R5/$T$5</f>
        <v>0.1112984139663687</v>
      </c>
      <c r="S25" s="17">
        <f aca="true" t="shared" si="24" ref="S25:S36">SUM(Q25:R25)</f>
        <v>0.19736011359697336</v>
      </c>
      <c r="T25" s="16">
        <f aca="true" t="shared" si="25" ref="T25:T36">SUM(B25+C25+E25+F25+H25+I25+K25+L25+N25+O25+Q25+R25)</f>
        <v>1</v>
      </c>
      <c r="U25" s="16">
        <f aca="true" t="shared" si="26" ref="U25:U36">SUM(B25:R25)</f>
        <v>1.8026398864030266</v>
      </c>
      <c r="V25" s="16">
        <f aca="true" t="shared" si="27" ref="V25:V36">U25-T25</f>
        <v>0.8026398864030266</v>
      </c>
    </row>
    <row r="26" spans="1:23" s="22" customFormat="1" ht="12.75" customHeight="1">
      <c r="A26" s="19" t="s">
        <v>24</v>
      </c>
      <c r="B26" s="19">
        <f>B6/$T$6</f>
        <v>0.19057767642149212</v>
      </c>
      <c r="C26" s="19">
        <f>C6/$T$6</f>
        <v>0.06269446893691064</v>
      </c>
      <c r="D26" s="20">
        <f t="shared" si="19"/>
        <v>0.25327214535840276</v>
      </c>
      <c r="E26" s="19">
        <f>E6/$T$6</f>
        <v>0.06239616339937168</v>
      </c>
      <c r="F26" s="19">
        <f>F6/$T$6</f>
        <v>0.0701793875964751</v>
      </c>
      <c r="G26" s="20">
        <f t="shared" si="20"/>
        <v>0.13257555099584678</v>
      </c>
      <c r="H26" s="19">
        <f>H6/$T$6</f>
        <v>0.08437655250323645</v>
      </c>
      <c r="I26" s="19">
        <f>I6/$T$6</f>
        <v>0.06425788796579339</v>
      </c>
      <c r="J26" s="20">
        <f t="shared" si="21"/>
        <v>0.14863444046902985</v>
      </c>
      <c r="K26" s="19">
        <f>K6/$T$6</f>
        <v>0.06877282787440421</v>
      </c>
      <c r="L26" s="19">
        <f>L6/$T$6</f>
        <v>0.0684142546049019</v>
      </c>
      <c r="M26" s="20">
        <f t="shared" si="22"/>
        <v>0.1371870824793061</v>
      </c>
      <c r="N26" s="19">
        <f>N6/$T$6</f>
        <v>0.0645104317236457</v>
      </c>
      <c r="O26" s="19">
        <f>O6/$T$6</f>
        <v>0.07289545800341986</v>
      </c>
      <c r="P26" s="20">
        <f t="shared" si="23"/>
        <v>0.13740588972706558</v>
      </c>
      <c r="Q26" s="19">
        <f>Q6/$T$6</f>
        <v>0.08325552871903613</v>
      </c>
      <c r="R26" s="19">
        <f>R6/$T$6</f>
        <v>0.1076693622513129</v>
      </c>
      <c r="S26" s="20">
        <f t="shared" si="24"/>
        <v>0.19092489097034904</v>
      </c>
      <c r="T26" s="16">
        <f t="shared" si="25"/>
        <v>1.0000000000000002</v>
      </c>
      <c r="U26" s="19">
        <f t="shared" si="26"/>
        <v>1.8090751090296513</v>
      </c>
      <c r="V26" s="19">
        <f t="shared" si="27"/>
        <v>0.8090751090296511</v>
      </c>
      <c r="W26" s="21"/>
    </row>
    <row r="27" spans="1:22" s="22" customFormat="1" ht="12.75" customHeight="1">
      <c r="A27" s="19" t="s">
        <v>25</v>
      </c>
      <c r="B27" s="19">
        <f>B7/$T$7</f>
        <v>0.10680105439068381</v>
      </c>
      <c r="C27" s="19">
        <f>C7/$T$7</f>
        <v>0.07861504910620976</v>
      </c>
      <c r="D27" s="20">
        <f>SUM(B27:C27)</f>
        <v>0.18541610349689358</v>
      </c>
      <c r="E27" s="19">
        <f>E7/$T$7</f>
        <v>0.07740408875647496</v>
      </c>
      <c r="F27" s="19">
        <f>F7/$T$7</f>
        <v>0.0843710226412829</v>
      </c>
      <c r="G27" s="20">
        <f t="shared" si="20"/>
        <v>0.16177511139775785</v>
      </c>
      <c r="H27" s="19">
        <f>H7/$T$7</f>
        <v>0.08968745115033029</v>
      </c>
      <c r="I27" s="19">
        <f>I7/$T$7</f>
        <v>0.06830246119865677</v>
      </c>
      <c r="J27" s="20">
        <f t="shared" si="21"/>
        <v>0.15798991234898707</v>
      </c>
      <c r="K27" s="19">
        <f>K7/$T$7</f>
        <v>0.07310158408738994</v>
      </c>
      <c r="L27" s="19">
        <f>L7/$T$7</f>
        <v>0.07272044110818227</v>
      </c>
      <c r="M27" s="20">
        <f t="shared" si="22"/>
        <v>0.1458220251955722</v>
      </c>
      <c r="N27" s="19">
        <f>N7/$T$7</f>
        <v>0.06857090060874389</v>
      </c>
      <c r="O27" s="19">
        <f>O7/$T$7</f>
        <v>0.07748370377037708</v>
      </c>
      <c r="P27" s="20">
        <f t="shared" si="23"/>
        <v>0.146054604379121</v>
      </c>
      <c r="Q27" s="19">
        <f>Q7/$T$7</f>
        <v>0.08849586705135576</v>
      </c>
      <c r="R27" s="19">
        <f>R7/$T$7</f>
        <v>0.1144463761303126</v>
      </c>
      <c r="S27" s="20">
        <f t="shared" si="24"/>
        <v>0.20294224318166837</v>
      </c>
      <c r="T27" s="16">
        <f t="shared" si="25"/>
        <v>1</v>
      </c>
      <c r="U27" s="19">
        <f t="shared" si="26"/>
        <v>1.7970577568183317</v>
      </c>
      <c r="V27" s="19">
        <f t="shared" si="27"/>
        <v>0.7970577568183317</v>
      </c>
    </row>
    <row r="28" spans="1:22" s="22" customFormat="1" ht="12.75" customHeight="1">
      <c r="A28" s="19" t="s">
        <v>26</v>
      </c>
      <c r="B28" s="19">
        <f>B8/$T$8</f>
        <v>0.07520607840473224</v>
      </c>
      <c r="C28" s="19">
        <f>C8/$T$8</f>
        <v>0.08037655195143113</v>
      </c>
      <c r="D28" s="20">
        <f t="shared" si="19"/>
        <v>0.15558263035616338</v>
      </c>
      <c r="E28" s="19">
        <f>E8/$T$8</f>
        <v>0.09203700776647174</v>
      </c>
      <c r="F28" s="19">
        <f>F8/$T$8</f>
        <v>0.07207280594594062</v>
      </c>
      <c r="G28" s="20">
        <f t="shared" si="20"/>
        <v>0.16410981371241234</v>
      </c>
      <c r="H28" s="19">
        <f>H8/$T$8</f>
        <v>0.09346542110002408</v>
      </c>
      <c r="I28" s="19">
        <f>I8/$T$8</f>
        <v>0.07117961844111889</v>
      </c>
      <c r="J28" s="20">
        <f t="shared" si="21"/>
        <v>0.16464503954114296</v>
      </c>
      <c r="K28" s="19">
        <f>K8/$T$8</f>
        <v>0.07618089559612773</v>
      </c>
      <c r="L28" s="19">
        <f>L8/$T$8</f>
        <v>0.07578370163817023</v>
      </c>
      <c r="M28" s="20">
        <f t="shared" si="22"/>
        <v>0.15196459723429795</v>
      </c>
      <c r="N28" s="19">
        <f>N8/$T$8</f>
        <v>0.07145936551181396</v>
      </c>
      <c r="O28" s="19">
        <f>O8/$T$8</f>
        <v>0.0807476140862025</v>
      </c>
      <c r="P28" s="20">
        <f t="shared" si="23"/>
        <v>0.15220697959801646</v>
      </c>
      <c r="Q28" s="19">
        <f>Q8/$T$8</f>
        <v>0.09222364942110146</v>
      </c>
      <c r="R28" s="19">
        <f>R8/$T$8</f>
        <v>0.11926729013686534</v>
      </c>
      <c r="S28" s="20">
        <f t="shared" si="24"/>
        <v>0.2114909395579668</v>
      </c>
      <c r="T28" s="16">
        <f t="shared" si="25"/>
        <v>1</v>
      </c>
      <c r="U28" s="19">
        <f t="shared" si="26"/>
        <v>1.788509060442033</v>
      </c>
      <c r="V28" s="19">
        <f t="shared" si="27"/>
        <v>0.7885090604420331</v>
      </c>
    </row>
    <row r="29" spans="1:22" s="22" customFormat="1" ht="12.75" customHeight="1" hidden="1">
      <c r="A29" s="19" t="s">
        <v>27</v>
      </c>
      <c r="B29" s="19">
        <f>B9/$T$8</f>
        <v>0</v>
      </c>
      <c r="C29" s="19">
        <v>0</v>
      </c>
      <c r="D29" s="20">
        <f t="shared" si="19"/>
        <v>0</v>
      </c>
      <c r="E29" s="19">
        <v>0</v>
      </c>
      <c r="F29" s="19">
        <v>0</v>
      </c>
      <c r="G29" s="20">
        <f t="shared" si="20"/>
        <v>0</v>
      </c>
      <c r="H29" s="19">
        <v>0</v>
      </c>
      <c r="I29" s="19">
        <v>0</v>
      </c>
      <c r="J29" s="20">
        <f t="shared" si="21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3"/>
        <v>0</v>
      </c>
      <c r="Q29" s="19">
        <v>0</v>
      </c>
      <c r="R29" s="19">
        <v>0</v>
      </c>
      <c r="S29" s="20">
        <f t="shared" si="24"/>
        <v>0</v>
      </c>
      <c r="T29" s="16">
        <f t="shared" si="25"/>
        <v>0</v>
      </c>
      <c r="U29" s="19">
        <f t="shared" si="26"/>
        <v>0</v>
      </c>
      <c r="V29" s="19">
        <f t="shared" si="27"/>
        <v>0</v>
      </c>
    </row>
    <row r="30" spans="1:22" s="22" customFormat="1" ht="12.75" customHeight="1">
      <c r="A30" s="19" t="s">
        <v>28</v>
      </c>
      <c r="B30" s="19">
        <f>B10/$T$10</f>
        <v>0.09255418879118475</v>
      </c>
      <c r="C30" s="19">
        <f>C10/$T$10</f>
        <v>0.05955457457739735</v>
      </c>
      <c r="D30" s="20">
        <f t="shared" si="19"/>
        <v>0.1521087633685821</v>
      </c>
      <c r="E30" s="19">
        <f>E10/$T$10</f>
        <v>0.08197578763264476</v>
      </c>
      <c r="F30" s="19">
        <f>F10/$T$10</f>
        <v>0.11448228825851219</v>
      </c>
      <c r="G30" s="20">
        <f t="shared" si="20"/>
        <v>0.19645807589115694</v>
      </c>
      <c r="H30" s="19">
        <f>H10/$T$10</f>
        <v>0.08949845792474202</v>
      </c>
      <c r="I30" s="19">
        <f>I10/$T$10</f>
        <v>0.0681585314449725</v>
      </c>
      <c r="J30" s="20">
        <f t="shared" si="21"/>
        <v>0.1576569893697145</v>
      </c>
      <c r="K30" s="19">
        <f>K10/$T$10</f>
        <v>0.07294754254388207</v>
      </c>
      <c r="L30" s="19">
        <f>L10/$T$10</f>
        <v>0.07256720213180075</v>
      </c>
      <c r="M30" s="20">
        <f t="shared" si="22"/>
        <v>0.14551474467568282</v>
      </c>
      <c r="N30" s="19">
        <f>N10/$T$10</f>
        <v>0.06842640380523886</v>
      </c>
      <c r="O30" s="19">
        <f>O10/$T$10</f>
        <v>0.07732042748923754</v>
      </c>
      <c r="P30" s="20">
        <f t="shared" si="23"/>
        <v>0.1457468312944764</v>
      </c>
      <c r="Q30" s="19">
        <f>Q10/$T$10</f>
        <v>0.08830938628789951</v>
      </c>
      <c r="R30" s="19">
        <f>R10/$T$10</f>
        <v>0.11420520911248785</v>
      </c>
      <c r="S30" s="20">
        <f t="shared" si="24"/>
        <v>0.20251459540038735</v>
      </c>
      <c r="T30" s="16">
        <f t="shared" si="25"/>
        <v>1.0000000000000002</v>
      </c>
      <c r="U30" s="19">
        <f t="shared" si="26"/>
        <v>1.7974854045996131</v>
      </c>
      <c r="V30" s="19">
        <f t="shared" si="27"/>
        <v>0.7974854045996129</v>
      </c>
    </row>
    <row r="31" spans="1:22" s="22" customFormat="1" ht="12.75" customHeight="1">
      <c r="A31" s="19" t="s">
        <v>29</v>
      </c>
      <c r="B31" s="19">
        <f>B11/$T$11</f>
        <v>0.10228543740754369</v>
      </c>
      <c r="C31" s="19">
        <f>C11/$T$11</f>
        <v>0.07167112197216191</v>
      </c>
      <c r="D31" s="20">
        <f t="shared" si="19"/>
        <v>0.1739565593797056</v>
      </c>
      <c r="E31" s="19">
        <f>E11/$T$11</f>
        <v>0.08136528683806363</v>
      </c>
      <c r="F31" s="19">
        <f>F11/$T$11</f>
        <v>0.10013295509050012</v>
      </c>
      <c r="G31" s="20">
        <f t="shared" si="20"/>
        <v>0.18149824192856373</v>
      </c>
      <c r="H31" s="19">
        <f>H11/$T$11</f>
        <v>0.0885521416387345</v>
      </c>
      <c r="I31" s="19">
        <f>I11/$T$11</f>
        <v>0.06743785378919159</v>
      </c>
      <c r="J31" s="20">
        <f t="shared" si="21"/>
        <v>0.15598999542792608</v>
      </c>
      <c r="K31" s="19">
        <f>K11/$T$11</f>
        <v>0.0721762268990207</v>
      </c>
      <c r="L31" s="19">
        <f>L11/$T$11</f>
        <v>0.07179990871589861</v>
      </c>
      <c r="M31" s="20">
        <f t="shared" si="22"/>
        <v>0.14397613561491931</v>
      </c>
      <c r="N31" s="19">
        <f>N11/$T$11</f>
        <v>0.06770289517906267</v>
      </c>
      <c r="O31" s="19">
        <f>O11/$T$11</f>
        <v>0.0765028757289012</v>
      </c>
      <c r="P31" s="20">
        <f t="shared" si="23"/>
        <v>0.14420577090796388</v>
      </c>
      <c r="Q31" s="19">
        <f>Q11/$T$11</f>
        <v>0.08737564121490371</v>
      </c>
      <c r="R31" s="19">
        <f>R11/$T$11</f>
        <v>0.11299765552601765</v>
      </c>
      <c r="S31" s="20">
        <f t="shared" si="24"/>
        <v>0.20037329674092136</v>
      </c>
      <c r="T31" s="16">
        <f t="shared" si="25"/>
        <v>1</v>
      </c>
      <c r="U31" s="19">
        <f t="shared" si="26"/>
        <v>1.7996267032590787</v>
      </c>
      <c r="V31" s="19">
        <f t="shared" si="27"/>
        <v>0.7996267032590787</v>
      </c>
    </row>
    <row r="32" spans="1:22" s="22" customFormat="1" ht="12.75" customHeight="1">
      <c r="A32" s="19" t="s">
        <v>30</v>
      </c>
      <c r="B32" s="19">
        <f>B12/$T$12</f>
        <v>0.10547444660784319</v>
      </c>
      <c r="C32" s="19">
        <f>C12/$T$12</f>
        <v>0.06873509019758073</v>
      </c>
      <c r="D32" s="20">
        <f t="shared" si="19"/>
        <v>0.17420953680542392</v>
      </c>
      <c r="E32" s="19">
        <f>E12/$T$12</f>
        <v>0.10692362885829759</v>
      </c>
      <c r="F32" s="19">
        <f>F12/$T$12</f>
        <v>0.09364951440126036</v>
      </c>
      <c r="G32" s="20">
        <f t="shared" si="20"/>
        <v>0.20057314325955794</v>
      </c>
      <c r="H32" s="19">
        <f>H12/$T$12</f>
        <v>0.08589674093040083</v>
      </c>
      <c r="I32" s="19">
        <f>I12/$T$12</f>
        <v>0.06541560530510392</v>
      </c>
      <c r="J32" s="20">
        <f t="shared" si="21"/>
        <v>0.15131234623550474</v>
      </c>
      <c r="K32" s="19">
        <f>K12/$T$12</f>
        <v>0.0700118901194388</v>
      </c>
      <c r="L32" s="19">
        <f>L12/$T$12</f>
        <v>0.06964685471989525</v>
      </c>
      <c r="M32" s="20">
        <f t="shared" si="22"/>
        <v>0.13965874483933405</v>
      </c>
      <c r="N32" s="19">
        <f>N12/$T$12</f>
        <v>0.06567269862813915</v>
      </c>
      <c r="O32" s="19">
        <f>O12/$T$12</f>
        <v>0.07420879683541431</v>
      </c>
      <c r="P32" s="20">
        <f t="shared" si="23"/>
        <v>0.13988149546355347</v>
      </c>
      <c r="Q32" s="19">
        <f>Q12/$T$12</f>
        <v>0.08475552134989248</v>
      </c>
      <c r="R32" s="19">
        <f>R12/$T$12</f>
        <v>0.10960921204673336</v>
      </c>
      <c r="S32" s="20">
        <f t="shared" si="24"/>
        <v>0.19436473339662586</v>
      </c>
      <c r="T32" s="16">
        <f t="shared" si="25"/>
        <v>1</v>
      </c>
      <c r="U32" s="19">
        <f t="shared" si="26"/>
        <v>1.805635266603374</v>
      </c>
      <c r="V32" s="19">
        <f t="shared" si="27"/>
        <v>0.8056352666033739</v>
      </c>
    </row>
    <row r="33" spans="1:22" s="18" customFormat="1" ht="12.75" customHeight="1">
      <c r="A33" s="16" t="s">
        <v>31</v>
      </c>
      <c r="B33" s="16">
        <f>B13/$T$13</f>
        <v>0.008527945945283208</v>
      </c>
      <c r="C33" s="16">
        <f>C13/$T$13</f>
        <v>0.020749858782008457</v>
      </c>
      <c r="D33" s="17">
        <f t="shared" si="19"/>
        <v>0.029277804727291665</v>
      </c>
      <c r="E33" s="16">
        <f>E13/$T$13</f>
        <v>0.008479784197935339</v>
      </c>
      <c r="F33" s="16">
        <f>F13/$T$13</f>
        <v>0.00824274677884936</v>
      </c>
      <c r="G33" s="17">
        <f t="shared" si="20"/>
        <v>0.0167225309767847</v>
      </c>
      <c r="H33" s="16">
        <f>H13/$T$13</f>
        <v>0.1310671673004447</v>
      </c>
      <c r="I33" s="16">
        <f>I13/$T$13</f>
        <v>0.09981563749254252</v>
      </c>
      <c r="J33" s="17">
        <f t="shared" si="21"/>
        <v>0.23088280479298723</v>
      </c>
      <c r="K33" s="16">
        <f>K13/$T$13</f>
        <v>0.10682896470279388</v>
      </c>
      <c r="L33" s="16">
        <f>L13/$T$13</f>
        <v>0.1062719709239708</v>
      </c>
      <c r="M33" s="17">
        <f t="shared" si="22"/>
        <v>0.2131009356267647</v>
      </c>
      <c r="N33" s="16">
        <f>N13/$T$13</f>
        <v>0.10020792864980377</v>
      </c>
      <c r="O33" s="16">
        <f>O13/$T$13</f>
        <v>0.11323289373370368</v>
      </c>
      <c r="P33" s="17">
        <f t="shared" si="23"/>
        <v>0.21344082238350745</v>
      </c>
      <c r="Q33" s="16">
        <f>Q13/$T$13</f>
        <v>0.1293258137974088</v>
      </c>
      <c r="R33" s="16">
        <f>R13/$T$13</f>
        <v>0.16724928769525543</v>
      </c>
      <c r="S33" s="17">
        <f t="shared" si="24"/>
        <v>0.2965751014926642</v>
      </c>
      <c r="T33" s="16">
        <f t="shared" si="25"/>
        <v>1</v>
      </c>
      <c r="U33" s="16">
        <f t="shared" si="26"/>
        <v>1.7034248985073357</v>
      </c>
      <c r="V33" s="16">
        <f t="shared" si="27"/>
        <v>0.7034248985073357</v>
      </c>
    </row>
    <row r="34" spans="1:22" s="22" customFormat="1" ht="12.75" customHeight="1">
      <c r="A34" s="19" t="s">
        <v>32</v>
      </c>
      <c r="B34" s="19">
        <f>B14/$T$14</f>
        <v>0</v>
      </c>
      <c r="C34" s="19">
        <f>C14/$T$14</f>
        <v>0.00627439143440053</v>
      </c>
      <c r="D34" s="20">
        <f t="shared" si="19"/>
        <v>0.00627439143440053</v>
      </c>
      <c r="E34" s="19">
        <f>E14/$T$14</f>
        <v>0</v>
      </c>
      <c r="F34" s="19">
        <f>F14/$T$14</f>
        <v>0.021023909809295024</v>
      </c>
      <c r="G34" s="20">
        <f t="shared" si="20"/>
        <v>0.021023909809295024</v>
      </c>
      <c r="H34" s="19">
        <f>H14/$T$14</f>
        <v>0.09045151705173074</v>
      </c>
      <c r="I34" s="19">
        <f>I14/$T$14</f>
        <v>0.12524056207162718</v>
      </c>
      <c r="J34" s="20">
        <f t="shared" si="21"/>
        <v>0.21569207912335792</v>
      </c>
      <c r="K34" s="19">
        <f>K14/$T$14</f>
        <v>0.12524056207162718</v>
      </c>
      <c r="L34" s="19">
        <f>L14/$T$14</f>
        <v>0.12524056207162718</v>
      </c>
      <c r="M34" s="20">
        <f t="shared" si="22"/>
        <v>0.25048112414325435</v>
      </c>
      <c r="N34" s="19">
        <f>N14/$T$14</f>
        <v>0.12524056207162718</v>
      </c>
      <c r="O34" s="19">
        <f>O14/$T$14</f>
        <v>0.12524056207162718</v>
      </c>
      <c r="P34" s="20">
        <f t="shared" si="23"/>
        <v>0.25048112414325435</v>
      </c>
      <c r="Q34" s="19">
        <f>Q14/$T$14</f>
        <v>0.12524056207162718</v>
      </c>
      <c r="R34" s="19">
        <f>R14/$T$14</f>
        <v>0.13080680927481061</v>
      </c>
      <c r="S34" s="20">
        <f t="shared" si="24"/>
        <v>0.2560473713464378</v>
      </c>
      <c r="T34" s="16">
        <f t="shared" si="25"/>
        <v>0.9999999999999999</v>
      </c>
      <c r="U34" s="19">
        <f t="shared" si="26"/>
        <v>1.7439526286535625</v>
      </c>
      <c r="V34" s="19">
        <f t="shared" si="27"/>
        <v>0.7439526286535626</v>
      </c>
    </row>
    <row r="35" spans="1:22" s="22" customFormat="1" ht="12.75" customHeight="1">
      <c r="A35" s="19" t="s">
        <v>33</v>
      </c>
      <c r="B35" s="19">
        <f>B15/$T$15</f>
        <v>0.03414473190259818</v>
      </c>
      <c r="C35" s="19">
        <f>C15/$T$15</f>
        <v>0.009840270893462458</v>
      </c>
      <c r="D35" s="20">
        <f t="shared" si="19"/>
        <v>0.04398500279606064</v>
      </c>
      <c r="E35" s="19">
        <f>E15/$T$15</f>
        <v>0.020311129680894928</v>
      </c>
      <c r="F35" s="19">
        <f>F15/$T$15</f>
        <v>0.060297097885166656</v>
      </c>
      <c r="G35" s="20">
        <f t="shared" si="20"/>
        <v>0.08060822756606159</v>
      </c>
      <c r="H35" s="19">
        <f>H15/$T$15</f>
        <v>0.1053642252631395</v>
      </c>
      <c r="I35" s="19">
        <f>I15/$T$15</f>
        <v>0.1053642252631395</v>
      </c>
      <c r="J35" s="20">
        <f t="shared" si="21"/>
        <v>0.210728450526279</v>
      </c>
      <c r="K35" s="19">
        <f>K15/$T$15</f>
        <v>0.1053642252631395</v>
      </c>
      <c r="L35" s="19">
        <f>L15/$T$15</f>
        <v>0.1053642252631395</v>
      </c>
      <c r="M35" s="20">
        <f t="shared" si="22"/>
        <v>0.210728450526279</v>
      </c>
      <c r="N35" s="19">
        <f>N15/$T$15</f>
        <v>0.1053642252631395</v>
      </c>
      <c r="O35" s="19">
        <f>O15/$T$15</f>
        <v>0.1053642252631395</v>
      </c>
      <c r="P35" s="20">
        <f t="shared" si="23"/>
        <v>0.210728450526279</v>
      </c>
      <c r="Q35" s="19">
        <f>Q15/$T$15</f>
        <v>0.1053642252631395</v>
      </c>
      <c r="R35" s="19">
        <f>R15/$T$15</f>
        <v>0.13785719279590122</v>
      </c>
      <c r="S35" s="20">
        <f t="shared" si="24"/>
        <v>0.24322141805904074</v>
      </c>
      <c r="T35" s="16">
        <f t="shared" si="25"/>
        <v>0.9999999999999999</v>
      </c>
      <c r="U35" s="19">
        <f t="shared" si="26"/>
        <v>1.7567785819409591</v>
      </c>
      <c r="V35" s="19">
        <f t="shared" si="27"/>
        <v>0.7567785819409593</v>
      </c>
    </row>
    <row r="36" spans="1:22" s="22" customFormat="1" ht="12.75" customHeight="1">
      <c r="A36" s="19" t="s">
        <v>36</v>
      </c>
      <c r="B36" s="19">
        <f>B16/$T$16</f>
        <v>0.2228094814494983</v>
      </c>
      <c r="C36" s="19">
        <f>C16/$T$16</f>
        <v>0</v>
      </c>
      <c r="D36" s="20">
        <f t="shared" si="19"/>
        <v>0.2228094814494983</v>
      </c>
      <c r="E36" s="19">
        <f>E16/$T$16</f>
        <v>0.10934061859208698</v>
      </c>
      <c r="F36" s="19">
        <f>F16/$T$16</f>
        <v>0</v>
      </c>
      <c r="G36" s="20">
        <f t="shared" si="20"/>
        <v>0.10934061859208698</v>
      </c>
      <c r="H36" s="19">
        <f>H16/$T$16</f>
        <v>0</v>
      </c>
      <c r="I36" s="19">
        <f>I16/$T$16</f>
        <v>0.05824272383358268</v>
      </c>
      <c r="J36" s="20">
        <f t="shared" si="21"/>
        <v>0.05824272383358268</v>
      </c>
      <c r="K36" s="19">
        <f>K16/$T$16</f>
        <v>0</v>
      </c>
      <c r="L36" s="19">
        <f>L16/$T$16</f>
        <v>0.02329708953343307</v>
      </c>
      <c r="M36" s="20">
        <f t="shared" si="22"/>
        <v>0.02329708953343307</v>
      </c>
      <c r="N36" s="19">
        <f>N16/$T$16</f>
        <v>0.17472817150074801</v>
      </c>
      <c r="O36" s="19">
        <f>O16/$T$16</f>
        <v>0</v>
      </c>
      <c r="P36" s="20">
        <f t="shared" si="23"/>
        <v>0.17472817150074801</v>
      </c>
      <c r="Q36" s="19">
        <f>Q16/$T$16</f>
        <v>0.2329708953343307</v>
      </c>
      <c r="R36" s="19">
        <f>R16/$T$16</f>
        <v>0.1786110197563202</v>
      </c>
      <c r="S36" s="20">
        <f t="shared" si="24"/>
        <v>0.4115819150906509</v>
      </c>
      <c r="T36" s="16">
        <f t="shared" si="25"/>
        <v>1</v>
      </c>
      <c r="U36" s="19">
        <f t="shared" si="26"/>
        <v>1.588418084909349</v>
      </c>
      <c r="V36" s="19">
        <f t="shared" si="27"/>
        <v>0.588418084909349</v>
      </c>
    </row>
    <row r="37" spans="1:22" s="22" customFormat="1" ht="12.75" customHeight="1">
      <c r="A37" s="12" t="s">
        <v>35</v>
      </c>
      <c r="B37" s="19">
        <f>B17/$T$17</f>
        <v>0.011048842680299275</v>
      </c>
      <c r="C37" s="19">
        <f>C17/$T$17</f>
        <v>0.02787055963837921</v>
      </c>
      <c r="D37" s="20">
        <f>SUM(B37:C37)</f>
        <v>0.038919402318678485</v>
      </c>
      <c r="E37" s="19">
        <f>E17/$T$17</f>
        <v>0.011713462308195944</v>
      </c>
      <c r="F37" s="19">
        <f>F17/$T$17</f>
        <v>-2.5295986915545002E-05</v>
      </c>
      <c r="G37" s="20">
        <f>SUM(E37:F37)</f>
        <v>0.011688166321280398</v>
      </c>
      <c r="H37" s="19">
        <f>H17/$T$17</f>
        <v>0.1509189924629628</v>
      </c>
      <c r="I37" s="19">
        <f>I17/$T$17</f>
        <v>0.08798679237967966</v>
      </c>
      <c r="J37" s="20">
        <f>SUM(H37:I37)</f>
        <v>0.23890578484264247</v>
      </c>
      <c r="K37" s="19">
        <f>K17/$T$17</f>
        <v>0.0985828367671454</v>
      </c>
      <c r="L37" s="19">
        <f>L17/$T$17</f>
        <v>0.097726032876445</v>
      </c>
      <c r="M37" s="20">
        <f>SUM(K37:L37)</f>
        <v>0.1963088696435904</v>
      </c>
      <c r="N37" s="19">
        <f>N17/$T$17</f>
        <v>0.0884815343561062</v>
      </c>
      <c r="O37" s="19">
        <f>O17/$T$17</f>
        <v>0.10821467317904106</v>
      </c>
      <c r="P37" s="20">
        <f>SUM(N37:O37)</f>
        <v>0.19669620753514727</v>
      </c>
      <c r="Q37" s="19">
        <f>Q17/$T$17</f>
        <v>0.13222867914431652</v>
      </c>
      <c r="R37" s="19">
        <f>R17/$T$17</f>
        <v>0.1852528901943444</v>
      </c>
      <c r="S37" s="20">
        <f>SUM(Q37:R37)</f>
        <v>0.3174815693386609</v>
      </c>
      <c r="T37" s="16">
        <f>SUM(B37+C37+E37+F37+H37+I37+K37+L37+N37+O37+Q37+R37)</f>
        <v>1</v>
      </c>
      <c r="U37" s="19">
        <f>SUM(B37:R37)</f>
        <v>1.682518430661339</v>
      </c>
      <c r="V37" s="19">
        <f>U37-T37</f>
        <v>0.682518430661339</v>
      </c>
    </row>
    <row r="38" spans="1:22" s="1" customFormat="1" ht="12.75" customHeight="1" hidden="1">
      <c r="A38" s="12" t="s">
        <v>39</v>
      </c>
      <c r="B38" s="19">
        <f>B18/$T$17</f>
        <v>0</v>
      </c>
      <c r="C38" s="19">
        <f>C18/$T$18</f>
        <v>0.5767492916039109</v>
      </c>
      <c r="D38" s="20">
        <f>SUM(B38:C38)</f>
        <v>0.5767492916039109</v>
      </c>
      <c r="E38" s="19">
        <f>E18/$T$17</f>
        <v>2.1159392400100547E-06</v>
      </c>
      <c r="F38" s="19">
        <f>F18/$T$18</f>
        <v>0.33821764991192915</v>
      </c>
      <c r="G38" s="20">
        <f>SUM(E38:F38)</f>
        <v>0.33821976585116914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>
        <f>SUM(B38+C38+E38+F38+H38+I38+K38+L38+N38+O38+Q38+R38)</f>
        <v>0.9149690574550801</v>
      </c>
      <c r="U38" s="19">
        <f>U18/$T$18</f>
        <v>0</v>
      </c>
      <c r="V38" s="19">
        <f>V18/$T$18</f>
        <v>0</v>
      </c>
    </row>
  </sheetData>
  <sheetProtection/>
  <mergeCells count="13"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  <mergeCell ref="J3:J4"/>
    <mergeCell ref="M3:M4"/>
    <mergeCell ref="B23:J23"/>
  </mergeCells>
  <printOptions horizontalCentered="1"/>
  <pageMargins left="0.2755905511811024" right="0.2755905511811024" top="0.7480314960629921" bottom="0.2755905511811024" header="0.3937007874015748" footer="0.5118110236220472"/>
  <pageSetup horizontalDpi="600" verticalDpi="600"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Diretoria Legislativa 5</cp:lastModifiedBy>
  <cp:lastPrinted>2017-05-25T17:31:42Z</cp:lastPrinted>
  <dcterms:created xsi:type="dcterms:W3CDTF">2005-01-14T10:04:29Z</dcterms:created>
  <dcterms:modified xsi:type="dcterms:W3CDTF">2017-06-12T17:37:27Z</dcterms:modified>
  <cp:category/>
  <cp:version/>
  <cp:contentType/>
  <cp:contentStatus/>
  <cp:revision>2</cp:revision>
</cp:coreProperties>
</file>