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210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Planilha1!$A$1:$BT$60</definedName>
    <definedName name="Excel_BuiltIn_Print_Area_1">Planilha1!$A$1:$BT$59</definedName>
    <definedName name="Excel_BuiltIn_Print_Titles_1_1">Planilha1!$A:$A</definedName>
    <definedName name="_xlnm.Print_Titles" localSheetId="0">Planilha1!$A:$A</definedName>
  </definedNames>
  <calcPr calcId="162913"/>
</workbook>
</file>

<file path=xl/calcChain.xml><?xml version="1.0" encoding="utf-8"?>
<calcChain xmlns="http://schemas.openxmlformats.org/spreadsheetml/2006/main">
  <c r="X38" i="1" l="1"/>
  <c r="Q47" i="1"/>
  <c r="M38" i="1"/>
  <c r="X60" i="1"/>
  <c r="X56" i="1"/>
  <c r="X24" i="1"/>
  <c r="X25" i="1"/>
  <c r="X5" i="1"/>
  <c r="AX5" i="1"/>
  <c r="X27" i="1" l="1"/>
  <c r="X28" i="1"/>
  <c r="X29" i="1"/>
  <c r="X30" i="1"/>
  <c r="X31" i="1"/>
  <c r="X2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6" i="1"/>
  <c r="W28" i="1"/>
  <c r="V32" i="1"/>
  <c r="V57" i="1" s="1"/>
  <c r="P30" i="1" l="1"/>
  <c r="P29" i="1"/>
  <c r="BR32" i="1" l="1"/>
  <c r="BI32" i="1"/>
  <c r="BK32" i="1"/>
  <c r="BL32" i="1"/>
  <c r="BM32" i="1"/>
  <c r="BN32" i="1"/>
  <c r="BP32" i="1"/>
  <c r="BQ32" i="1"/>
  <c r="AX32" i="1"/>
  <c r="AY32" i="1"/>
  <c r="AZ32" i="1"/>
  <c r="BA32" i="1"/>
  <c r="BC32" i="1"/>
  <c r="BD32" i="1"/>
  <c r="BE32" i="1"/>
  <c r="BF32" i="1"/>
  <c r="AO32" i="1"/>
  <c r="AQ32" i="1"/>
  <c r="AR32" i="1"/>
  <c r="AS32" i="1"/>
  <c r="AT32" i="1"/>
  <c r="AL32" i="1"/>
  <c r="AM32" i="1"/>
  <c r="AN32" i="1"/>
  <c r="AG32" i="1"/>
  <c r="Q32" i="1"/>
  <c r="Q48" i="1" s="1"/>
  <c r="P31" i="1"/>
  <c r="BH29" i="1"/>
  <c r="BH30" i="1"/>
  <c r="BH31" i="1"/>
  <c r="AV29" i="1"/>
  <c r="AV30" i="1"/>
  <c r="AV31" i="1"/>
  <c r="AJ30" i="1"/>
  <c r="R29" i="1"/>
  <c r="U29" i="1" s="1"/>
  <c r="W29" i="1" s="1"/>
  <c r="AB29" i="1" s="1"/>
  <c r="AJ29" i="1" s="1"/>
  <c r="R30" i="1"/>
  <c r="U30" i="1" s="1"/>
  <c r="W30" i="1" s="1"/>
  <c r="AB30" i="1" s="1"/>
  <c r="R31" i="1"/>
  <c r="U31" i="1" s="1"/>
  <c r="W31" i="1" s="1"/>
  <c r="AB31" i="1" s="1"/>
  <c r="AJ31" i="1" s="1"/>
  <c r="BT31" i="1" s="1"/>
  <c r="Q49" i="1" l="1"/>
  <c r="BT30" i="1"/>
  <c r="BT29" i="1"/>
  <c r="BM41" i="1"/>
  <c r="BM50" i="1"/>
  <c r="M42" i="1" l="1"/>
  <c r="M60" i="1"/>
  <c r="P60" i="1" s="1"/>
  <c r="U60" i="1" l="1"/>
  <c r="R60" i="1"/>
  <c r="M56" i="1"/>
  <c r="E56" i="1" l="1"/>
  <c r="M25" i="1"/>
  <c r="M24" i="1"/>
  <c r="M5" i="1"/>
  <c r="I5" i="1"/>
  <c r="BO5" i="1"/>
  <c r="BO32" i="1" s="1"/>
  <c r="BJ25" i="1"/>
  <c r="BJ5" i="1"/>
  <c r="BJ32" i="1" s="1"/>
  <c r="C25" i="1"/>
  <c r="C5" i="1"/>
  <c r="M27" i="1"/>
  <c r="M28" i="1"/>
  <c r="M2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E26" i="1" l="1"/>
  <c r="E17" i="1"/>
  <c r="E28" i="1"/>
  <c r="E27" i="1"/>
  <c r="E22" i="1"/>
  <c r="E21" i="1"/>
  <c r="E20" i="1"/>
  <c r="E19" i="1"/>
  <c r="E18" i="1"/>
  <c r="E16" i="1"/>
  <c r="E14" i="1"/>
  <c r="E13" i="1"/>
  <c r="E12" i="1"/>
  <c r="E11" i="1"/>
  <c r="E10" i="1"/>
  <c r="E9" i="1"/>
  <c r="E8" i="1"/>
  <c r="E7" i="1"/>
  <c r="E6" i="1"/>
  <c r="BH38" i="1" l="1"/>
  <c r="AV38" i="1"/>
  <c r="B39" i="1"/>
  <c r="B41" i="1" s="1"/>
  <c r="BH56" i="1"/>
  <c r="AV56" i="1"/>
  <c r="M32" i="1" l="1"/>
  <c r="BH5" i="1"/>
  <c r="AV5" i="1"/>
  <c r="BH25" i="1"/>
  <c r="AV25" i="1"/>
  <c r="BH24" i="1"/>
  <c r="AV24" i="1"/>
  <c r="BH28" i="1"/>
  <c r="AV28" i="1"/>
  <c r="AJ28" i="1"/>
  <c r="BH27" i="1"/>
  <c r="AV27" i="1"/>
  <c r="BH26" i="1"/>
  <c r="AV26" i="1"/>
  <c r="BH23" i="1"/>
  <c r="AV23" i="1"/>
  <c r="BH22" i="1"/>
  <c r="AV22" i="1"/>
  <c r="BH21" i="1"/>
  <c r="AV21" i="1"/>
  <c r="BH20" i="1"/>
  <c r="AV20" i="1"/>
  <c r="BH19" i="1"/>
  <c r="AV19" i="1"/>
  <c r="BH18" i="1"/>
  <c r="AV18" i="1"/>
  <c r="BH17" i="1"/>
  <c r="AV17" i="1"/>
  <c r="BH16" i="1"/>
  <c r="AV16" i="1"/>
  <c r="BH15" i="1"/>
  <c r="BB15" i="1"/>
  <c r="AV15" i="1"/>
  <c r="BH14" i="1"/>
  <c r="AV14" i="1"/>
  <c r="BH13" i="1"/>
  <c r="AV13" i="1"/>
  <c r="BH12" i="1"/>
  <c r="AV12" i="1"/>
  <c r="BH11" i="1"/>
  <c r="AV11" i="1"/>
  <c r="BH10" i="1"/>
  <c r="AV10" i="1"/>
  <c r="BH9" i="1"/>
  <c r="AV9" i="1"/>
  <c r="G8" i="1"/>
  <c r="J8" i="1" s="1"/>
  <c r="BH8" i="1"/>
  <c r="AV8" i="1"/>
  <c r="BH7" i="1"/>
  <c r="AV7" i="1"/>
  <c r="AP7" i="1"/>
  <c r="BH6" i="1"/>
  <c r="AV6" i="1"/>
  <c r="B32" i="1"/>
  <c r="AV32" i="1" l="1"/>
  <c r="BH32" i="1"/>
  <c r="BH60" i="1"/>
  <c r="AJ60" i="1" l="1"/>
  <c r="AJ42" i="1"/>
  <c r="AJ33" i="1"/>
  <c r="AU33" i="1"/>
  <c r="X42" i="1" l="1"/>
  <c r="Q51" i="1" l="1"/>
  <c r="G38" i="1" l="1"/>
  <c r="J38" i="1" s="1"/>
  <c r="E60" i="1" l="1"/>
  <c r="E42" i="1"/>
  <c r="G60" i="1" l="1"/>
  <c r="G42" i="1"/>
  <c r="J42" i="1" s="1"/>
  <c r="L42" i="1" s="1"/>
  <c r="R42" i="1" s="1"/>
  <c r="G27" i="1"/>
  <c r="J60" i="1" l="1"/>
  <c r="L60" i="1" s="1"/>
  <c r="J27" i="1"/>
  <c r="L27" i="1" s="1"/>
  <c r="P27" i="1" s="1"/>
  <c r="B51" i="1"/>
  <c r="AI27" i="1"/>
  <c r="O32" i="1"/>
  <c r="T32" i="1"/>
  <c r="T39" i="1" s="1"/>
  <c r="V40" i="1" s="1"/>
  <c r="AA32" i="1"/>
  <c r="AC32" i="1"/>
  <c r="AF32" i="1"/>
  <c r="AH32" i="1"/>
  <c r="BQ57" i="1"/>
  <c r="C32" i="1"/>
  <c r="D32" i="1"/>
  <c r="E32" i="1"/>
  <c r="E57" i="1" s="1"/>
  <c r="F32" i="1"/>
  <c r="F57" i="1" s="1"/>
  <c r="I32" i="1"/>
  <c r="I39" i="1" s="1"/>
  <c r="K40" i="1" s="1"/>
  <c r="K32" i="1"/>
  <c r="B57" i="1"/>
  <c r="B59" i="1" s="1"/>
  <c r="D57" i="1" l="1"/>
  <c r="D39" i="1"/>
  <c r="E51" i="1"/>
  <c r="C39" i="1"/>
  <c r="C57" i="1"/>
  <c r="E58" i="1" s="1"/>
  <c r="E59" i="1" s="1"/>
  <c r="K48" i="1"/>
  <c r="K57" i="1"/>
  <c r="I57" i="1"/>
  <c r="K58" i="1" s="1"/>
  <c r="E40" i="1" l="1"/>
  <c r="E41" i="1" s="1"/>
  <c r="G39" i="1"/>
  <c r="J39" i="1" s="1"/>
  <c r="F58" i="1"/>
  <c r="F59" i="1" s="1"/>
  <c r="K59" i="1" s="1"/>
  <c r="M57" i="1"/>
  <c r="F40" i="1"/>
  <c r="F41" i="1" s="1"/>
  <c r="K41" i="1" s="1"/>
  <c r="M39" i="1"/>
  <c r="M40" i="1" s="1"/>
  <c r="M41" i="1" s="1"/>
  <c r="R27" i="1"/>
  <c r="U27" i="1" s="1"/>
  <c r="W27" i="1" s="1"/>
  <c r="AB27" i="1" s="1"/>
  <c r="AJ27" i="1" s="1"/>
  <c r="BG33" i="1"/>
  <c r="BB33" i="1"/>
  <c r="AV33" i="1"/>
  <c r="AP33" i="1"/>
  <c r="X33" i="1"/>
  <c r="M58" i="1" l="1"/>
  <c r="M59" i="1" s="1"/>
  <c r="BH33" i="1"/>
  <c r="AD27" i="1" l="1"/>
  <c r="AO47" i="1"/>
  <c r="AP27" i="1"/>
  <c r="Y60" i="1"/>
  <c r="L38" i="1"/>
  <c r="F51" i="1"/>
  <c r="E47" i="1"/>
  <c r="G25" i="1"/>
  <c r="H25" i="1" s="1"/>
  <c r="G24" i="1"/>
  <c r="H24" i="1" s="1"/>
  <c r="G5" i="1"/>
  <c r="H5" i="1" s="1"/>
  <c r="L5" i="1" s="1"/>
  <c r="G7" i="1"/>
  <c r="J7" i="1" s="1"/>
  <c r="G15" i="1"/>
  <c r="J15" i="1" s="1"/>
  <c r="BU28" i="1"/>
  <c r="BU23" i="1"/>
  <c r="G26" i="1"/>
  <c r="J26" i="1" s="1"/>
  <c r="G28" i="1"/>
  <c r="J28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5" i="1"/>
  <c r="BS32" i="1" s="1"/>
  <c r="AH47" i="1"/>
  <c r="BU57" i="1"/>
  <c r="BR57" i="1"/>
  <c r="BR59" i="1" s="1"/>
  <c r="BP57" i="1"/>
  <c r="BM57" i="1"/>
  <c r="BM59" i="1" s="1"/>
  <c r="BK57" i="1"/>
  <c r="BU56" i="1"/>
  <c r="BS56" i="1"/>
  <c r="BR50" i="1"/>
  <c r="BV48" i="1"/>
  <c r="BU48" i="1"/>
  <c r="BS48" i="1"/>
  <c r="BS50" i="1" s="1"/>
  <c r="BN48" i="1"/>
  <c r="BN50" i="1" s="1"/>
  <c r="N48" i="1"/>
  <c r="BF51" i="1"/>
  <c r="BA51" i="1"/>
  <c r="AT51" i="1"/>
  <c r="AO51" i="1"/>
  <c r="AH51" i="1"/>
  <c r="AC51" i="1"/>
  <c r="V51" i="1"/>
  <c r="X51" i="1" s="1"/>
  <c r="K51" i="1"/>
  <c r="BQ47" i="1"/>
  <c r="BF47" i="1"/>
  <c r="BA47" i="1"/>
  <c r="AT47" i="1"/>
  <c r="AC47" i="1"/>
  <c r="K47" i="1"/>
  <c r="K49" i="1" s="1"/>
  <c r="F47" i="1"/>
  <c r="B47" i="1"/>
  <c r="BR41" i="1"/>
  <c r="V47" i="1"/>
  <c r="H21" i="1"/>
  <c r="BU5" i="1"/>
  <c r="BU6" i="1"/>
  <c r="BU18" i="1"/>
  <c r="BU19" i="1"/>
  <c r="BU20" i="1"/>
  <c r="BU22" i="1"/>
  <c r="BU38" i="1"/>
  <c r="M33" i="1"/>
  <c r="BT33" i="1" s="1"/>
  <c r="G56" i="1"/>
  <c r="J56" i="1" s="1"/>
  <c r="M47" i="1" l="1"/>
  <c r="N5" i="1"/>
  <c r="B48" i="1"/>
  <c r="B50" i="1" s="1"/>
  <c r="BJ48" i="1"/>
  <c r="P38" i="1"/>
  <c r="M51" i="1"/>
  <c r="Y5" i="1"/>
  <c r="J47" i="1"/>
  <c r="AV51" i="1"/>
  <c r="AJ51" i="1"/>
  <c r="AU27" i="1"/>
  <c r="L11" i="1"/>
  <c r="P11" i="1" s="1"/>
  <c r="L20" i="1"/>
  <c r="P20" i="1" s="1"/>
  <c r="L15" i="1"/>
  <c r="P15" i="1" s="1"/>
  <c r="L8" i="1"/>
  <c r="P8" i="1" s="1"/>
  <c r="L12" i="1"/>
  <c r="P12" i="1" s="1"/>
  <c r="L17" i="1"/>
  <c r="P17" i="1" s="1"/>
  <c r="L21" i="1"/>
  <c r="L26" i="1"/>
  <c r="P26" i="1" s="1"/>
  <c r="L7" i="1"/>
  <c r="P7" i="1" s="1"/>
  <c r="G47" i="1"/>
  <c r="L16" i="1"/>
  <c r="P16" i="1" s="1"/>
  <c r="L28" i="1"/>
  <c r="P28" i="1" s="1"/>
  <c r="L13" i="1"/>
  <c r="P13" i="1" s="1"/>
  <c r="L18" i="1"/>
  <c r="L22" i="1"/>
  <c r="P22" i="1" s="1"/>
  <c r="L24" i="1"/>
  <c r="N24" i="1" s="1"/>
  <c r="G51" i="1"/>
  <c r="J51" i="1" s="1"/>
  <c r="L51" i="1" s="1"/>
  <c r="R51" i="1" s="1"/>
  <c r="L10" i="1"/>
  <c r="P10" i="1" s="1"/>
  <c r="L14" i="1"/>
  <c r="P14" i="1" s="1"/>
  <c r="L19" i="1"/>
  <c r="P19" i="1" s="1"/>
  <c r="L23" i="1"/>
  <c r="P23" i="1" s="1"/>
  <c r="BH51" i="1"/>
  <c r="Y51" i="1"/>
  <c r="L9" i="1"/>
  <c r="P9" i="1" s="1"/>
  <c r="BU32" i="1"/>
  <c r="AK60" i="1"/>
  <c r="AW60" i="1" s="1"/>
  <c r="G6" i="1"/>
  <c r="J6" i="1" s="1"/>
  <c r="Y38" i="1"/>
  <c r="Y33" i="1"/>
  <c r="W60" i="1"/>
  <c r="BU47" i="1"/>
  <c r="BU50" i="1" s="1"/>
  <c r="L56" i="1"/>
  <c r="P56" i="1" s="1"/>
  <c r="P47" i="1" s="1"/>
  <c r="BU59" i="1"/>
  <c r="Y11" i="1"/>
  <c r="X47" i="1" l="1"/>
  <c r="R47" i="1"/>
  <c r="Y24" i="1"/>
  <c r="R24" i="1"/>
  <c r="S24" i="1" s="1"/>
  <c r="Y18" i="1"/>
  <c r="P18" i="1"/>
  <c r="Y21" i="1"/>
  <c r="P21" i="1"/>
  <c r="R38" i="1"/>
  <c r="W42" i="1"/>
  <c r="AD60" i="1"/>
  <c r="AI60" i="1" s="1"/>
  <c r="H32" i="1"/>
  <c r="H57" i="1" s="1"/>
  <c r="BB27" i="1"/>
  <c r="R8" i="1"/>
  <c r="U8" i="1" s="1"/>
  <c r="W8" i="1" s="1"/>
  <c r="AB8" i="1" s="1"/>
  <c r="AJ8" i="1" s="1"/>
  <c r="R19" i="1"/>
  <c r="R21" i="1"/>
  <c r="U21" i="1" s="1"/>
  <c r="W21" i="1" s="1"/>
  <c r="AB21" i="1" s="1"/>
  <c r="AJ21" i="1" s="1"/>
  <c r="R15" i="1"/>
  <c r="R18" i="1"/>
  <c r="U18" i="1" s="1"/>
  <c r="W18" i="1" s="1"/>
  <c r="AB18" i="1" s="1"/>
  <c r="AJ18" i="1" s="1"/>
  <c r="R17" i="1"/>
  <c r="U17" i="1" s="1"/>
  <c r="W17" i="1" s="1"/>
  <c r="AB17" i="1" s="1"/>
  <c r="AJ17" i="1" s="1"/>
  <c r="R20" i="1"/>
  <c r="R10" i="1"/>
  <c r="U10" i="1" s="1"/>
  <c r="W10" i="1" s="1"/>
  <c r="AB10" i="1" s="1"/>
  <c r="AJ10" i="1" s="1"/>
  <c r="R26" i="1"/>
  <c r="U26" i="1" s="1"/>
  <c r="W26" i="1" s="1"/>
  <c r="AB26" i="1" s="1"/>
  <c r="AJ26" i="1" s="1"/>
  <c r="R28" i="1"/>
  <c r="Y28" i="1" s="1"/>
  <c r="R7" i="1"/>
  <c r="U7" i="1" s="1"/>
  <c r="W7" i="1" s="1"/>
  <c r="AB7" i="1" s="1"/>
  <c r="AJ7" i="1" s="1"/>
  <c r="R12" i="1"/>
  <c r="U12" i="1" s="1"/>
  <c r="W12" i="1" s="1"/>
  <c r="AB12" i="1" s="1"/>
  <c r="AJ12" i="1" s="1"/>
  <c r="R11" i="1"/>
  <c r="U11" i="1" s="1"/>
  <c r="W11" i="1" s="1"/>
  <c r="AB11" i="1" s="1"/>
  <c r="AJ11" i="1" s="1"/>
  <c r="R22" i="1"/>
  <c r="U22" i="1" s="1"/>
  <c r="R16" i="1"/>
  <c r="L25" i="1"/>
  <c r="N25" i="1" s="1"/>
  <c r="Y25" i="1" s="1"/>
  <c r="R14" i="1"/>
  <c r="U14" i="1" s="1"/>
  <c r="W14" i="1" s="1"/>
  <c r="AB14" i="1" s="1"/>
  <c r="AJ14" i="1" s="1"/>
  <c r="R23" i="1"/>
  <c r="R13" i="1"/>
  <c r="R56" i="1"/>
  <c r="U56" i="1" s="1"/>
  <c r="W38" i="1"/>
  <c r="AB38" i="1" s="1"/>
  <c r="E48" i="1"/>
  <c r="E49" i="1" s="1"/>
  <c r="E50" i="1" s="1"/>
  <c r="G32" i="1"/>
  <c r="J32" i="1"/>
  <c r="J57" i="1" s="1"/>
  <c r="J58" i="1" s="1"/>
  <c r="J59" i="1" s="1"/>
  <c r="Y56" i="1"/>
  <c r="L47" i="1"/>
  <c r="AK51" i="1"/>
  <c r="AW51" i="1" s="1"/>
  <c r="R9" i="1"/>
  <c r="AK33" i="1"/>
  <c r="AW33" i="1" s="1"/>
  <c r="Y9" i="1" l="1"/>
  <c r="U9" i="1"/>
  <c r="W9" i="1" s="1"/>
  <c r="AB9" i="1" s="1"/>
  <c r="AJ9" i="1" s="1"/>
  <c r="Y23" i="1"/>
  <c r="U23" i="1"/>
  <c r="W23" i="1" s="1"/>
  <c r="AB23" i="1" s="1"/>
  <c r="AJ23" i="1" s="1"/>
  <c r="Y22" i="1"/>
  <c r="W22" i="1"/>
  <c r="AB22" i="1" s="1"/>
  <c r="AJ22" i="1" s="1"/>
  <c r="Y15" i="1"/>
  <c r="U15" i="1"/>
  <c r="W15" i="1" s="1"/>
  <c r="AB15" i="1" s="1"/>
  <c r="AJ15" i="1" s="1"/>
  <c r="Y19" i="1"/>
  <c r="U19" i="1"/>
  <c r="W19" i="1" s="1"/>
  <c r="AB19" i="1" s="1"/>
  <c r="AJ19" i="1" s="1"/>
  <c r="AJ38" i="1"/>
  <c r="AK38" i="1" s="1"/>
  <c r="AW38" i="1" s="1"/>
  <c r="BI38" i="1" s="1"/>
  <c r="Y13" i="1"/>
  <c r="U13" i="1"/>
  <c r="W13" i="1" s="1"/>
  <c r="AB13" i="1" s="1"/>
  <c r="AJ13" i="1" s="1"/>
  <c r="Y16" i="1"/>
  <c r="U16" i="1"/>
  <c r="W16" i="1" s="1"/>
  <c r="AB16" i="1" s="1"/>
  <c r="AJ16" i="1" s="1"/>
  <c r="Y20" i="1"/>
  <c r="U20" i="1"/>
  <c r="W20" i="1" s="1"/>
  <c r="AB20" i="1" s="1"/>
  <c r="AJ20" i="1" s="1"/>
  <c r="H39" i="1"/>
  <c r="L57" i="1"/>
  <c r="AD38" i="1"/>
  <c r="BG27" i="1"/>
  <c r="BT27" i="1" s="1"/>
  <c r="W24" i="1"/>
  <c r="Z24" i="1" s="1"/>
  <c r="AJ24" i="1" s="1"/>
  <c r="AD28" i="1"/>
  <c r="N32" i="1"/>
  <c r="N57" i="1" s="1"/>
  <c r="L6" i="1"/>
  <c r="P6" i="1" s="1"/>
  <c r="P32" i="1" s="1"/>
  <c r="J48" i="1"/>
  <c r="AP60" i="1"/>
  <c r="AU60" i="1" s="1"/>
  <c r="R5" i="1"/>
  <c r="S5" i="1" s="1"/>
  <c r="AB42" i="1"/>
  <c r="AD42" i="1"/>
  <c r="W56" i="1"/>
  <c r="U47" i="1"/>
  <c r="AB56" i="1" l="1"/>
  <c r="AJ56" i="1" s="1"/>
  <c r="BT56" i="1" s="1"/>
  <c r="L39" i="1"/>
  <c r="J40" i="1"/>
  <c r="J41" i="1" s="1"/>
  <c r="X32" i="1"/>
  <c r="W47" i="1"/>
  <c r="L48" i="1"/>
  <c r="J49" i="1"/>
  <c r="AI42" i="1"/>
  <c r="AG42" i="1"/>
  <c r="AI38" i="1"/>
  <c r="W51" i="1"/>
  <c r="U51" i="1"/>
  <c r="R25" i="1"/>
  <c r="AI28" i="1"/>
  <c r="AD9" i="1"/>
  <c r="AI9" i="1" s="1"/>
  <c r="AD7" i="1"/>
  <c r="AI7" i="1" s="1"/>
  <c r="L32" i="1"/>
  <c r="R6" i="1"/>
  <c r="U6" i="1" s="1"/>
  <c r="W6" i="1" s="1"/>
  <c r="AB6" i="1" s="1"/>
  <c r="P57" i="1"/>
  <c r="BB60" i="1"/>
  <c r="BI51" i="1"/>
  <c r="AD56" i="1"/>
  <c r="AI56" i="1" s="1"/>
  <c r="AB32" i="1" l="1"/>
  <c r="AB57" i="1" s="1"/>
  <c r="AJ6" i="1"/>
  <c r="U32" i="1"/>
  <c r="AB47" i="1"/>
  <c r="W25" i="1"/>
  <c r="Z25" i="1" s="1"/>
  <c r="AJ25" i="1" s="1"/>
  <c r="S25" i="1"/>
  <c r="S32" i="1" s="1"/>
  <c r="R32" i="1"/>
  <c r="P48" i="1"/>
  <c r="P58" i="1"/>
  <c r="P59" i="1" s="1"/>
  <c r="Y47" i="1"/>
  <c r="AP42" i="1"/>
  <c r="AN42" i="1"/>
  <c r="AP38" i="1"/>
  <c r="AU38" i="1" s="1"/>
  <c r="BB38" i="1" s="1"/>
  <c r="BG38" i="1" s="1"/>
  <c r="BT38" i="1" s="1"/>
  <c r="BG60" i="1"/>
  <c r="AD51" i="1"/>
  <c r="AG51" i="1" s="1"/>
  <c r="AI51" i="1" s="1"/>
  <c r="AB51" i="1"/>
  <c r="AP56" i="1"/>
  <c r="AU56" i="1" s="1"/>
  <c r="AP28" i="1"/>
  <c r="AU7" i="1"/>
  <c r="AP9" i="1"/>
  <c r="AK21" i="1"/>
  <c r="AK15" i="1"/>
  <c r="AK23" i="1"/>
  <c r="AW23" i="1" s="1"/>
  <c r="AK22" i="1"/>
  <c r="AW22" i="1" s="1"/>
  <c r="AK24" i="1"/>
  <c r="AW24" i="1" s="1"/>
  <c r="AD16" i="1"/>
  <c r="AD14" i="1"/>
  <c r="AD18" i="1"/>
  <c r="AD13" i="1"/>
  <c r="AD21" i="1"/>
  <c r="AD15" i="1"/>
  <c r="AD23" i="1"/>
  <c r="AD22" i="1"/>
  <c r="AD24" i="1"/>
  <c r="AK18" i="1"/>
  <c r="AK20" i="1"/>
  <c r="AK11" i="1"/>
  <c r="AK16" i="1"/>
  <c r="AW16" i="1" s="1"/>
  <c r="AK13" i="1"/>
  <c r="AK19" i="1"/>
  <c r="AW19" i="1" s="1"/>
  <c r="AK9" i="1"/>
  <c r="AD20" i="1"/>
  <c r="AD19" i="1"/>
  <c r="AD12" i="1"/>
  <c r="AD10" i="1"/>
  <c r="AD11" i="1"/>
  <c r="AD8" i="1"/>
  <c r="AD17" i="1"/>
  <c r="AK28" i="1"/>
  <c r="AW28" i="1" s="1"/>
  <c r="AD26" i="1"/>
  <c r="AK56" i="1"/>
  <c r="Y6" i="1"/>
  <c r="AD47" i="1"/>
  <c r="W5" i="1"/>
  <c r="Z5" i="1" s="1"/>
  <c r="AJ5" i="1" s="1"/>
  <c r="BV60" i="1"/>
  <c r="BI60" i="1"/>
  <c r="AG47" i="1"/>
  <c r="AJ32" i="1" l="1"/>
  <c r="BT5" i="1"/>
  <c r="P49" i="1"/>
  <c r="R48" i="1"/>
  <c r="AW9" i="1"/>
  <c r="AI47" i="1"/>
  <c r="AJ47" i="1"/>
  <c r="AK47" i="1" s="1"/>
  <c r="AZ42" i="1"/>
  <c r="BV38" i="1"/>
  <c r="BV41" i="1" s="1"/>
  <c r="AN47" i="1"/>
  <c r="AN51" i="1"/>
  <c r="AS51" i="1" s="1"/>
  <c r="AU51" i="1" s="1"/>
  <c r="BB51" i="1" s="1"/>
  <c r="BE51" i="1" s="1"/>
  <c r="BG51" i="1" s="1"/>
  <c r="AP51" i="1"/>
  <c r="BB56" i="1"/>
  <c r="AZ47" i="1"/>
  <c r="AI24" i="1"/>
  <c r="AU28" i="1"/>
  <c r="AI23" i="1"/>
  <c r="AI22" i="1"/>
  <c r="AI21" i="1"/>
  <c r="AI20" i="1"/>
  <c r="AI19" i="1"/>
  <c r="AI18" i="1"/>
  <c r="AI17" i="1"/>
  <c r="AP17" i="1" s="1"/>
  <c r="AI16" i="1"/>
  <c r="AI15" i="1"/>
  <c r="AI14" i="1"/>
  <c r="AI13" i="1"/>
  <c r="AI12" i="1"/>
  <c r="AI11" i="1"/>
  <c r="AI10" i="1"/>
  <c r="AU9" i="1"/>
  <c r="AI8" i="1"/>
  <c r="AP8" i="1" s="1"/>
  <c r="BB7" i="1"/>
  <c r="AW56" i="1"/>
  <c r="AI26" i="1"/>
  <c r="AW15" i="1"/>
  <c r="AK5" i="1"/>
  <c r="AW5" i="1" s="1"/>
  <c r="AD25" i="1"/>
  <c r="Y32" i="1"/>
  <c r="Z32" i="1"/>
  <c r="BB42" i="1" l="1"/>
  <c r="AZ51" i="1"/>
  <c r="BG56" i="1"/>
  <c r="BE47" i="1"/>
  <c r="BH47" i="1" s="1"/>
  <c r="AP24" i="1"/>
  <c r="BB28" i="1"/>
  <c r="AP26" i="1"/>
  <c r="AP23" i="1"/>
  <c r="AP22" i="1"/>
  <c r="AP19" i="1"/>
  <c r="AU17" i="1"/>
  <c r="AP16" i="1"/>
  <c r="AP14" i="1"/>
  <c r="BB9" i="1"/>
  <c r="BG9" i="1" s="1"/>
  <c r="BT9" i="1" s="1"/>
  <c r="AU8" i="1"/>
  <c r="BG7" i="1"/>
  <c r="BT7" i="1" s="1"/>
  <c r="W32" i="1"/>
  <c r="AW21" i="1"/>
  <c r="AP21" i="1"/>
  <c r="AW18" i="1"/>
  <c r="AP18" i="1"/>
  <c r="AP15" i="1"/>
  <c r="AP20" i="1"/>
  <c r="AW20" i="1"/>
  <c r="AW13" i="1"/>
  <c r="AP13" i="1"/>
  <c r="AP12" i="1"/>
  <c r="AW11" i="1"/>
  <c r="AP11" i="1"/>
  <c r="AP10" i="1"/>
  <c r="AK6" i="1"/>
  <c r="AD6" i="1"/>
  <c r="AD5" i="1"/>
  <c r="AS47" i="1"/>
  <c r="AV47" i="1" s="1"/>
  <c r="AP47" i="1"/>
  <c r="AW6" i="1" l="1"/>
  <c r="BE42" i="1"/>
  <c r="BG42" i="1"/>
  <c r="BL42" i="1" s="1"/>
  <c r="BL47" i="1"/>
  <c r="BT47" i="1" s="1"/>
  <c r="AU24" i="1"/>
  <c r="BG28" i="1"/>
  <c r="BT28" i="1" s="1"/>
  <c r="AU26" i="1"/>
  <c r="AU23" i="1"/>
  <c r="AU22" i="1"/>
  <c r="AU21" i="1"/>
  <c r="AU20" i="1"/>
  <c r="AU19" i="1"/>
  <c r="BB19" i="1" s="1"/>
  <c r="AU18" i="1"/>
  <c r="BB17" i="1"/>
  <c r="BG17" i="1" s="1"/>
  <c r="BT17" i="1" s="1"/>
  <c r="AU16" i="1"/>
  <c r="AU15" i="1"/>
  <c r="AU14" i="1"/>
  <c r="BB14" i="1" s="1"/>
  <c r="AU13" i="1"/>
  <c r="AU12" i="1"/>
  <c r="AU11" i="1"/>
  <c r="AU10" i="1"/>
  <c r="BB10" i="1" s="1"/>
  <c r="BB8" i="1"/>
  <c r="AK25" i="1"/>
  <c r="AK32" i="1" s="1"/>
  <c r="AI25" i="1"/>
  <c r="AD32" i="1"/>
  <c r="AW47" i="1"/>
  <c r="AE32" i="1"/>
  <c r="AU47" i="1"/>
  <c r="BB16" i="1" l="1"/>
  <c r="AP25" i="1"/>
  <c r="BB24" i="1"/>
  <c r="BV28" i="1"/>
  <c r="BB26" i="1"/>
  <c r="BB23" i="1"/>
  <c r="BB22" i="1"/>
  <c r="BB21" i="1"/>
  <c r="BB20" i="1"/>
  <c r="BG19" i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W25" i="1"/>
  <c r="AW32" i="1" s="1"/>
  <c r="AG57" i="1"/>
  <c r="AI6" i="1"/>
  <c r="BG47" i="1"/>
  <c r="AI5" i="1"/>
  <c r="BI56" i="1"/>
  <c r="BB47" i="1"/>
  <c r="BT19" i="1" l="1"/>
  <c r="AU25" i="1"/>
  <c r="BG24" i="1"/>
  <c r="BT24" i="1" s="1"/>
  <c r="BG26" i="1"/>
  <c r="BT26" i="1" s="1"/>
  <c r="BG23" i="1"/>
  <c r="BT23" i="1" s="1"/>
  <c r="BG22" i="1"/>
  <c r="BG21" i="1"/>
  <c r="BT21" i="1" s="1"/>
  <c r="BG20" i="1"/>
  <c r="BT20" i="1" s="1"/>
  <c r="BV19" i="1"/>
  <c r="BG18" i="1"/>
  <c r="BT18" i="1" s="1"/>
  <c r="BG13" i="1"/>
  <c r="BT13" i="1" s="1"/>
  <c r="BG12" i="1"/>
  <c r="BT12" i="1" s="1"/>
  <c r="AI32" i="1"/>
  <c r="BN56" i="1"/>
  <c r="BV56" i="1"/>
  <c r="BI47" i="1"/>
  <c r="BV23" i="1" l="1"/>
  <c r="BT22" i="1"/>
  <c r="BV20" i="1"/>
  <c r="BV18" i="1"/>
  <c r="AN57" i="1"/>
  <c r="AP6" i="1"/>
  <c r="AP5" i="1"/>
  <c r="AP32" i="1" s="1"/>
  <c r="AL57" i="1"/>
  <c r="BV47" i="1"/>
  <c r="BV50" i="1" s="1"/>
  <c r="BU39" i="1"/>
  <c r="BF57" i="1"/>
  <c r="T57" i="1"/>
  <c r="V58" i="1" s="1"/>
  <c r="BN39" i="1"/>
  <c r="BN41" i="1" s="1"/>
  <c r="AT57" i="1"/>
  <c r="AT48" i="1" s="1"/>
  <c r="AE57" i="1"/>
  <c r="AG58" i="1" s="1"/>
  <c r="Q57" i="1"/>
  <c r="AR57" i="1"/>
  <c r="AR39" i="1" s="1"/>
  <c r="BO57" i="1"/>
  <c r="BA57" i="1"/>
  <c r="BD57" i="1"/>
  <c r="O57" i="1"/>
  <c r="BF48" i="1"/>
  <c r="F48" i="1"/>
  <c r="AO57" i="1"/>
  <c r="N39" i="1"/>
  <c r="BS39" i="1"/>
  <c r="BS41" i="1" s="1"/>
  <c r="AY57" i="1"/>
  <c r="S57" i="1"/>
  <c r="AC57" i="1"/>
  <c r="AC48" i="1" s="1"/>
  <c r="V48" i="1"/>
  <c r="X48" i="1" s="1"/>
  <c r="X49" i="1" s="1"/>
  <c r="AA57" i="1"/>
  <c r="AF57" i="1"/>
  <c r="BQ48" i="1"/>
  <c r="BQ49" i="1" s="1"/>
  <c r="AH57" i="1"/>
  <c r="AM57" i="1"/>
  <c r="AM39" i="1" s="1"/>
  <c r="Z57" i="1"/>
  <c r="BA48" i="1"/>
  <c r="P40" i="1" l="1"/>
  <c r="P41" i="1" s="1"/>
  <c r="M48" i="1"/>
  <c r="M49" i="1" s="1"/>
  <c r="M50" i="1" s="1"/>
  <c r="X50" i="1" s="1"/>
  <c r="F49" i="1"/>
  <c r="F50" i="1" s="1"/>
  <c r="O39" i="1"/>
  <c r="Q58" i="1"/>
  <c r="Q59" i="1" s="1"/>
  <c r="V59" i="1" s="1"/>
  <c r="X57" i="1"/>
  <c r="R57" i="1"/>
  <c r="AB58" i="1"/>
  <c r="AJ57" i="1"/>
  <c r="AJ58" i="1" s="1"/>
  <c r="BO39" i="1"/>
  <c r="BQ40" i="1" s="1"/>
  <c r="BQ58" i="1"/>
  <c r="AN58" i="1"/>
  <c r="AL39" i="1"/>
  <c r="AN40" i="1" s="1"/>
  <c r="BB25" i="1"/>
  <c r="BV22" i="1"/>
  <c r="AO48" i="1"/>
  <c r="AH48" i="1"/>
  <c r="AD57" i="1"/>
  <c r="G48" i="1"/>
  <c r="G57" i="1"/>
  <c r="BD39" i="1"/>
  <c r="BS57" i="1"/>
  <c r="BS59" i="1" s="1"/>
  <c r="AF39" i="1"/>
  <c r="AA39" i="1"/>
  <c r="Z39" i="1"/>
  <c r="AB40" i="1" s="1"/>
  <c r="AE39" i="1"/>
  <c r="AG40" i="1" s="1"/>
  <c r="AI57" i="1"/>
  <c r="AP57" i="1"/>
  <c r="S39" i="1"/>
  <c r="AY39" i="1"/>
  <c r="K50" i="1" l="1"/>
  <c r="J50" i="1"/>
  <c r="X58" i="1"/>
  <c r="X59" i="1" s="1"/>
  <c r="X39" i="1"/>
  <c r="X40" i="1" s="1"/>
  <c r="X41" i="1" s="1"/>
  <c r="Q40" i="1"/>
  <c r="Q41" i="1" s="1"/>
  <c r="V41" i="1" s="1"/>
  <c r="AB41" i="1" s="1"/>
  <c r="R39" i="1"/>
  <c r="U40" i="1"/>
  <c r="U41" i="1" s="1"/>
  <c r="AJ39" i="1"/>
  <c r="AJ40" i="1" s="1"/>
  <c r="AJ41" i="1" s="1"/>
  <c r="BG25" i="1"/>
  <c r="W39" i="1"/>
  <c r="AB48" i="1" s="1"/>
  <c r="AB49" i="1" s="1"/>
  <c r="AS57" i="1"/>
  <c r="AU6" i="1"/>
  <c r="Y39" i="1"/>
  <c r="Y41" i="1" s="1"/>
  <c r="AU5" i="1"/>
  <c r="AU32" i="1" s="1"/>
  <c r="AQ57" i="1"/>
  <c r="Q50" i="1" l="1"/>
  <c r="P50" i="1"/>
  <c r="AG41" i="1"/>
  <c r="AN41" i="1" s="1"/>
  <c r="AS58" i="1"/>
  <c r="AV57" i="1"/>
  <c r="AD48" i="1"/>
  <c r="BT25" i="1"/>
  <c r="V49" i="1"/>
  <c r="V50" i="1" s="1"/>
  <c r="AC49" i="1" s="1"/>
  <c r="AC50" i="1" s="1"/>
  <c r="AC40" i="1"/>
  <c r="AC41" i="1" s="1"/>
  <c r="AQ39" i="1"/>
  <c r="AU57" i="1"/>
  <c r="AK39" i="1"/>
  <c r="AV58" i="1" l="1"/>
  <c r="AV39" i="1"/>
  <c r="AV40" i="1" s="1"/>
  <c r="AV41" i="1" s="1"/>
  <c r="AS40" i="1"/>
  <c r="AS41" i="1" s="1"/>
  <c r="AH40" i="1"/>
  <c r="AH41" i="1" s="1"/>
  <c r="AO40" i="1" s="1"/>
  <c r="AO41" i="1" s="1"/>
  <c r="BB5" i="1"/>
  <c r="AX57" i="1"/>
  <c r="BB6" i="1"/>
  <c r="AZ57" i="1"/>
  <c r="AZ58" i="1" s="1"/>
  <c r="AC58" i="1"/>
  <c r="AC59" i="1" s="1"/>
  <c r="AH49" i="1"/>
  <c r="AH50" i="1" s="1"/>
  <c r="AO49" i="1" s="1"/>
  <c r="AO50" i="1" s="1"/>
  <c r="U48" i="1"/>
  <c r="AK41" i="1"/>
  <c r="BB32" i="1" l="1"/>
  <c r="U49" i="1"/>
  <c r="U50" i="1" s="1"/>
  <c r="AB50" i="1" s="1"/>
  <c r="BC57" i="1"/>
  <c r="AT40" i="1"/>
  <c r="AT41" i="1" s="1"/>
  <c r="BA40" i="1" s="1"/>
  <c r="BA41" i="1" s="1"/>
  <c r="U57" i="1"/>
  <c r="AH58" i="1"/>
  <c r="AH59" i="1" s="1"/>
  <c r="AX39" i="1"/>
  <c r="AZ40" i="1" s="1"/>
  <c r="AZ41" i="1" s="1"/>
  <c r="BB57" i="1"/>
  <c r="W48" i="1"/>
  <c r="AD39" i="1"/>
  <c r="U58" i="1" l="1"/>
  <c r="U59" i="1" s="1"/>
  <c r="AB59" i="1" s="1"/>
  <c r="AG59" i="1" s="1"/>
  <c r="AN59" i="1" s="1"/>
  <c r="AS59" i="1" s="1"/>
  <c r="AZ59" i="1" s="1"/>
  <c r="W57" i="1"/>
  <c r="BG5" i="1"/>
  <c r="AO58" i="1"/>
  <c r="AO59" i="1" s="1"/>
  <c r="Y48" i="1"/>
  <c r="Y50" i="1" s="1"/>
  <c r="BE57" i="1"/>
  <c r="BG6" i="1"/>
  <c r="AT49" i="1"/>
  <c r="AT50" i="1" s="1"/>
  <c r="BA49" i="1" s="1"/>
  <c r="BA50" i="1" s="1"/>
  <c r="BC39" i="1"/>
  <c r="AG48" i="1"/>
  <c r="AI39" i="1"/>
  <c r="BG32" i="1" l="1"/>
  <c r="BH39" i="1"/>
  <c r="BH40" i="1" s="1"/>
  <c r="BH41" i="1" s="1"/>
  <c r="BE40" i="1"/>
  <c r="BE41" i="1" s="1"/>
  <c r="BH57" i="1"/>
  <c r="BE58" i="1"/>
  <c r="BE59" i="1" s="1"/>
  <c r="AJ48" i="1"/>
  <c r="AJ49" i="1" s="1"/>
  <c r="AJ50" i="1" s="1"/>
  <c r="AG49" i="1"/>
  <c r="AG50" i="1" s="1"/>
  <c r="AJ59" i="1"/>
  <c r="AV59" i="1" s="1"/>
  <c r="Y57" i="1"/>
  <c r="Y59" i="1" s="1"/>
  <c r="BJ57" i="1"/>
  <c r="AW39" i="1"/>
  <c r="AW41" i="1" s="1"/>
  <c r="BG57" i="1"/>
  <c r="AT58" i="1"/>
  <c r="AT59" i="1" s="1"/>
  <c r="AN48" i="1"/>
  <c r="AN49" i="1" s="1"/>
  <c r="AP39" i="1"/>
  <c r="AI48" i="1"/>
  <c r="BH58" i="1" l="1"/>
  <c r="BH59" i="1"/>
  <c r="AK48" i="1"/>
  <c r="AK50" i="1" s="1"/>
  <c r="AN50" i="1"/>
  <c r="AK57" i="1"/>
  <c r="AK59" i="1" s="1"/>
  <c r="BF40" i="1"/>
  <c r="BF41" i="1" s="1"/>
  <c r="BA58" i="1"/>
  <c r="BL57" i="1"/>
  <c r="BT57" i="1" s="1"/>
  <c r="BT58" i="1" s="1"/>
  <c r="BT59" i="1" s="1"/>
  <c r="BT6" i="1"/>
  <c r="BT32" i="1" s="1"/>
  <c r="BJ39" i="1"/>
  <c r="BV5" i="1"/>
  <c r="AS48" i="1"/>
  <c r="AU39" i="1"/>
  <c r="AP48" i="1"/>
  <c r="BT39" i="1" l="1"/>
  <c r="BT40" i="1" s="1"/>
  <c r="BT41" i="1" s="1"/>
  <c r="BL40" i="1"/>
  <c r="BL41" i="1" s="1"/>
  <c r="BQ41" i="1" s="1"/>
  <c r="AW57" i="1"/>
  <c r="AW59" i="1" s="1"/>
  <c r="BL58" i="1"/>
  <c r="BL59" i="1" s="1"/>
  <c r="BQ59" i="1" s="1"/>
  <c r="BV59" i="1"/>
  <c r="AV48" i="1"/>
  <c r="AV49" i="1" s="1"/>
  <c r="AV50" i="1" s="1"/>
  <c r="AS49" i="1"/>
  <c r="AS50" i="1" s="1"/>
  <c r="BN57" i="1"/>
  <c r="BN59" i="1" s="1"/>
  <c r="BA59" i="1"/>
  <c r="BV6" i="1"/>
  <c r="BV32" i="1" s="1"/>
  <c r="BE48" i="1"/>
  <c r="BE49" i="1" s="1"/>
  <c r="AU48" i="1"/>
  <c r="AZ48" i="1"/>
  <c r="AZ49" i="1" s="1"/>
  <c r="BI57" i="1" l="1"/>
  <c r="BI59" i="1" s="1"/>
  <c r="AW48" i="1"/>
  <c r="AW50" i="1" s="1"/>
  <c r="AZ50" i="1"/>
  <c r="BE50" i="1" s="1"/>
  <c r="BH48" i="1"/>
  <c r="BH49" i="1" s="1"/>
  <c r="BH50" i="1" s="1"/>
  <c r="BB39" i="1"/>
  <c r="BG39" i="1" s="1"/>
  <c r="BF49" i="1"/>
  <c r="BF50" i="1" s="1"/>
  <c r="BF58" i="1"/>
  <c r="BF59" i="1" s="1"/>
  <c r="BV39" i="1"/>
  <c r="BU41" i="1" s="1"/>
  <c r="BV57" i="1"/>
  <c r="BG48" i="1"/>
  <c r="BI39" i="1"/>
  <c r="BI41" i="1" s="1"/>
  <c r="BB48" i="1"/>
  <c r="BL48" i="1" l="1"/>
  <c r="BL49" i="1" s="1"/>
  <c r="BL50" i="1" s="1"/>
  <c r="BQ50" i="1" s="1"/>
  <c r="BI48" i="1"/>
  <c r="BI50" i="1" s="1"/>
  <c r="BT48" i="1" l="1"/>
  <c r="BT49" i="1" s="1"/>
  <c r="BT50" i="1" s="1"/>
</calcChain>
</file>

<file path=xl/sharedStrings.xml><?xml version="1.0" encoding="utf-8"?>
<sst xmlns="http://schemas.openxmlformats.org/spreadsheetml/2006/main" count="508" uniqueCount="65">
  <si>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</si>
  <si>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</si>
  <si>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</si>
  <si>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</si>
  <si>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</si>
  <si>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</si>
  <si>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</si>
  <si>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</si>
  <si>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</si>
  <si>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</si>
  <si>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</si>
  <si>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</si>
  <si>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</si>
  <si>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</si>
  <si>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</si>
  <si>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</si>
  <si>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</si>
  <si>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</si>
  <si>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</si>
  <si>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</si>
  <si>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</si>
  <si>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</si>
  <si>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</si>
  <si>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</si>
  <si>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</si>
  <si>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</si>
  <si>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</si>
  <si>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</si>
  <si>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02. GP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</si>
  <si>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</si>
  <si>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</si>
  <si>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</si>
  <si>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</si>
  <si>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</si>
  <si>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</si>
  <si>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</si>
  <si>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Fluxo Financeiro</t>
  </si>
  <si>
    <t>11. SMT</t>
  </si>
  <si>
    <t>09. SMEL</t>
  </si>
  <si>
    <t>12. SMD</t>
  </si>
  <si>
    <t>13. SMI</t>
  </si>
  <si>
    <t>03. PGM</t>
  </si>
  <si>
    <t>04. SMG</t>
  </si>
  <si>
    <t>06. SMS</t>
  </si>
  <si>
    <t>08. SMC</t>
  </si>
  <si>
    <t>10. SMR</t>
  </si>
  <si>
    <t>14. SMU</t>
  </si>
  <si>
    <t>15. SMH</t>
  </si>
  <si>
    <t>16. SMDS</t>
  </si>
  <si>
    <t>17. SMA</t>
  </si>
  <si>
    <t>18. SEAC</t>
  </si>
  <si>
    <t>20. SDU</t>
  </si>
  <si>
    <t>22. IPASSP</t>
  </si>
  <si>
    <t>24. IPLAN</t>
  </si>
  <si>
    <t>25. ENC.GERAIS</t>
  </si>
  <si>
    <t>26-SEC</t>
  </si>
  <si>
    <t>27-SECOR</t>
  </si>
  <si>
    <t>Atualizado</t>
  </si>
  <si>
    <t>ANEXO II - PROGRAMAÇÃO FINANCEIRA/ORÇAMENTÁRIA DE DESEMBOLSO – 2017</t>
  </si>
  <si>
    <t>Suplem. Superávit</t>
  </si>
  <si>
    <t>Saldo Atualizado</t>
  </si>
  <si>
    <t>Resultado Financeiro Mês/Bimestre</t>
  </si>
  <si>
    <t>28-SMCEL</t>
  </si>
  <si>
    <t>29-SMDETI</t>
  </si>
  <si>
    <t>30-SMERU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</si>
</sst>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4" borderId="1" xfId="0" applyNumberFormat="1" applyFont="1" applyFill="1" applyBorder="1" applyAlignment="1">
      <alignment horizontal="left" vertical="center" wrapText="1"/>
    </xf>
    <xf numFmtId="40" fontId="1" fillId="4" borderId="1" xfId="0" applyNumberFormat="1" applyFont="1" applyFill="1" applyBorder="1" applyAlignment="1">
      <alignment horizontal="center" vertical="center" wrapText="1"/>
    </xf>
    <xf numFmtId="40" fontId="2" fillId="4" borderId="1" xfId="0" applyNumberFormat="1" applyFont="1" applyFill="1" applyBorder="1" applyAlignment="1">
      <alignment horizontal="center" vertical="center" wrapText="1"/>
    </xf>
    <xf numFmtId="40" fontId="4" fillId="4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4"/>
  <sheetViews>
    <sheetView tabSelected="1" zoomScale="120" zoomScaleNormal="120" zoomScaleSheetLayoutView="62" workbookViewId="0">
      <pane xSplit="2" ySplit="4" topLeftCell="C38" activePane="bottomRight" state="frozen"/>
      <selection pane="topRight" activeCell="AN1" sqref="AN1"/>
      <selection pane="bottomLeft" activeCell="A5" sqref="A5"/>
      <selection pane="bottomRight" activeCell="BT60" sqref="BT60"/>
    </sheetView>
  </sheetViews>
  <sheetFormatPr defaultColWidth="7.7109375" defaultRowHeight="12.75" x14ac:dyDescent="0.2"/>
  <cols>
    <col min="1" max="1" width="12.1406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hidden="1" customWidth="1"/>
    <col min="28" max="28" width="12.85546875" style="24" customWidth="1"/>
    <col min="29" max="29" width="12.85546875" style="24" hidden="1" customWidth="1"/>
    <col min="30" max="30" width="11.5703125" style="24" hidden="1" customWidth="1"/>
    <col min="31" max="31" width="12.85546875" style="24" customWidth="1"/>
    <col min="32" max="32" width="11.5703125" style="24" hidden="1" customWidth="1"/>
    <col min="33" max="33" width="12.85546875" style="24" customWidth="1"/>
    <col min="34" max="35" width="12.85546875" style="20" hidden="1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hidden="1" customWidth="1"/>
    <col min="40" max="40" width="12.5703125" style="20" customWidth="1"/>
    <col min="41" max="41" width="11.42578125" style="20" hidden="1" customWidth="1"/>
    <col min="42" max="42" width="12.85546875" style="20" hidden="1" customWidth="1"/>
    <col min="43" max="43" width="11.7109375" style="20" customWidth="1"/>
    <col min="44" max="44" width="10.5703125" style="24" hidden="1" customWidth="1"/>
    <col min="45" max="45" width="12.85546875" style="24" customWidth="1"/>
    <col min="46" max="47" width="12.85546875" style="20" hidden="1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9.42578125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2" t="s">
        <v>58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29"/>
      <c r="Z1" s="53" t="s">
        <v>58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29"/>
      <c r="AX1" s="53" t="s">
        <v>58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4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5" t="s">
        <v>0</v>
      </c>
      <c r="B2" s="55" t="s">
        <v>1</v>
      </c>
      <c r="C2" s="55" t="s">
        <v>2</v>
      </c>
      <c r="D2" s="55"/>
      <c r="E2" s="55"/>
      <c r="F2" s="55"/>
      <c r="G2" s="1"/>
      <c r="H2" s="55" t="s">
        <v>3</v>
      </c>
      <c r="I2" s="55"/>
      <c r="J2" s="55"/>
      <c r="K2" s="55"/>
      <c r="L2" s="55"/>
      <c r="M2" s="56" t="s">
        <v>4</v>
      </c>
      <c r="N2" s="55" t="s">
        <v>5</v>
      </c>
      <c r="O2" s="55"/>
      <c r="P2" s="55"/>
      <c r="Q2" s="55"/>
      <c r="R2" s="55"/>
      <c r="S2" s="55" t="s">
        <v>6</v>
      </c>
      <c r="T2" s="55"/>
      <c r="U2" s="55"/>
      <c r="V2" s="55"/>
      <c r="W2" s="55"/>
      <c r="X2" s="56" t="s">
        <v>7</v>
      </c>
      <c r="Y2" s="56" t="s">
        <v>8</v>
      </c>
      <c r="Z2" s="55" t="s">
        <v>9</v>
      </c>
      <c r="AA2" s="55"/>
      <c r="AB2" s="55"/>
      <c r="AC2" s="55"/>
      <c r="AD2" s="55"/>
      <c r="AE2" s="55" t="s">
        <v>10</v>
      </c>
      <c r="AF2" s="55"/>
      <c r="AG2" s="55"/>
      <c r="AH2" s="55"/>
      <c r="AI2" s="55"/>
      <c r="AJ2" s="56" t="s">
        <v>11</v>
      </c>
      <c r="AK2" s="56" t="s">
        <v>8</v>
      </c>
      <c r="AL2" s="55" t="s">
        <v>12</v>
      </c>
      <c r="AM2" s="55"/>
      <c r="AN2" s="55"/>
      <c r="AO2" s="55"/>
      <c r="AP2" s="55"/>
      <c r="AQ2" s="55" t="s">
        <v>13</v>
      </c>
      <c r="AR2" s="55"/>
      <c r="AS2" s="55"/>
      <c r="AT2" s="55"/>
      <c r="AU2" s="55"/>
      <c r="AV2" s="56" t="s">
        <v>14</v>
      </c>
      <c r="AW2" s="56" t="s">
        <v>8</v>
      </c>
      <c r="AX2" s="55" t="s">
        <v>15</v>
      </c>
      <c r="AY2" s="55"/>
      <c r="AZ2" s="55"/>
      <c r="BA2" s="55"/>
      <c r="BB2" s="55"/>
      <c r="BC2" s="55" t="s">
        <v>16</v>
      </c>
      <c r="BD2" s="55"/>
      <c r="BE2" s="55"/>
      <c r="BF2" s="55"/>
      <c r="BG2" s="55"/>
      <c r="BH2" s="56" t="s">
        <v>17</v>
      </c>
      <c r="BI2" s="56" t="s">
        <v>8</v>
      </c>
      <c r="BJ2" s="55" t="s">
        <v>18</v>
      </c>
      <c r="BK2" s="55"/>
      <c r="BL2" s="55"/>
      <c r="BM2" s="55"/>
      <c r="BN2" s="55"/>
      <c r="BO2" s="55" t="s">
        <v>19</v>
      </c>
      <c r="BP2" s="55"/>
      <c r="BQ2" s="55"/>
      <c r="BR2" s="55"/>
      <c r="BS2" s="55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5"/>
      <c r="B3" s="55"/>
      <c r="C3" s="55" t="s">
        <v>21</v>
      </c>
      <c r="D3" s="55"/>
      <c r="E3" s="55" t="s">
        <v>22</v>
      </c>
      <c r="F3" s="55"/>
      <c r="G3" s="55" t="s">
        <v>23</v>
      </c>
      <c r="H3" s="55" t="s">
        <v>21</v>
      </c>
      <c r="I3" s="55"/>
      <c r="J3" s="55" t="s">
        <v>22</v>
      </c>
      <c r="K3" s="55"/>
      <c r="L3" s="55" t="s">
        <v>23</v>
      </c>
      <c r="M3" s="56"/>
      <c r="N3" s="55" t="s">
        <v>21</v>
      </c>
      <c r="O3" s="55"/>
      <c r="P3" s="55" t="s">
        <v>22</v>
      </c>
      <c r="Q3" s="55"/>
      <c r="R3" s="55" t="s">
        <v>23</v>
      </c>
      <c r="S3" s="55" t="s">
        <v>21</v>
      </c>
      <c r="T3" s="55"/>
      <c r="U3" s="55" t="s">
        <v>22</v>
      </c>
      <c r="V3" s="55"/>
      <c r="W3" s="55" t="s">
        <v>23</v>
      </c>
      <c r="X3" s="56"/>
      <c r="Y3" s="56"/>
      <c r="Z3" s="55" t="s">
        <v>21</v>
      </c>
      <c r="AA3" s="55"/>
      <c r="AB3" s="55" t="s">
        <v>22</v>
      </c>
      <c r="AC3" s="55"/>
      <c r="AD3" s="55" t="s">
        <v>23</v>
      </c>
      <c r="AE3" s="55" t="s">
        <v>21</v>
      </c>
      <c r="AF3" s="55"/>
      <c r="AG3" s="55" t="s">
        <v>22</v>
      </c>
      <c r="AH3" s="55"/>
      <c r="AI3" s="55" t="s">
        <v>23</v>
      </c>
      <c r="AJ3" s="56"/>
      <c r="AK3" s="56"/>
      <c r="AL3" s="55" t="s">
        <v>21</v>
      </c>
      <c r="AM3" s="55"/>
      <c r="AN3" s="55" t="s">
        <v>22</v>
      </c>
      <c r="AO3" s="55"/>
      <c r="AP3" s="55" t="s">
        <v>23</v>
      </c>
      <c r="AQ3" s="55" t="s">
        <v>21</v>
      </c>
      <c r="AR3" s="55"/>
      <c r="AS3" s="55" t="s">
        <v>22</v>
      </c>
      <c r="AT3" s="55"/>
      <c r="AU3" s="55" t="s">
        <v>23</v>
      </c>
      <c r="AV3" s="56"/>
      <c r="AW3" s="56"/>
      <c r="AX3" s="55" t="s">
        <v>21</v>
      </c>
      <c r="AY3" s="55"/>
      <c r="AZ3" s="55" t="s">
        <v>22</v>
      </c>
      <c r="BA3" s="55"/>
      <c r="BB3" s="55" t="s">
        <v>23</v>
      </c>
      <c r="BC3" s="55" t="s">
        <v>21</v>
      </c>
      <c r="BD3" s="55"/>
      <c r="BE3" s="55" t="s">
        <v>22</v>
      </c>
      <c r="BF3" s="55"/>
      <c r="BG3" s="55" t="s">
        <v>23</v>
      </c>
      <c r="BH3" s="56"/>
      <c r="BI3" s="56"/>
      <c r="BJ3" s="55" t="s">
        <v>21</v>
      </c>
      <c r="BK3" s="55"/>
      <c r="BL3" s="55" t="s">
        <v>22</v>
      </c>
      <c r="BM3" s="55"/>
      <c r="BN3" s="55"/>
      <c r="BO3" s="55" t="s">
        <v>21</v>
      </c>
      <c r="BP3" s="55"/>
      <c r="BQ3" s="55" t="s">
        <v>22</v>
      </c>
      <c r="BR3" s="55"/>
      <c r="BS3" s="55"/>
      <c r="BT3" s="58" t="s">
        <v>57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5"/>
      <c r="B4" s="55"/>
      <c r="C4" s="1" t="s">
        <v>24</v>
      </c>
      <c r="D4" s="1" t="s">
        <v>25</v>
      </c>
      <c r="E4" s="1" t="s">
        <v>24</v>
      </c>
      <c r="F4" s="1" t="s">
        <v>25</v>
      </c>
      <c r="G4" s="55"/>
      <c r="H4" s="1" t="s">
        <v>24</v>
      </c>
      <c r="I4" s="1" t="s">
        <v>25</v>
      </c>
      <c r="J4" s="1" t="s">
        <v>24</v>
      </c>
      <c r="K4" s="1" t="s">
        <v>25</v>
      </c>
      <c r="L4" s="55"/>
      <c r="M4" s="56"/>
      <c r="N4" s="1" t="s">
        <v>24</v>
      </c>
      <c r="O4" s="1" t="s">
        <v>25</v>
      </c>
      <c r="P4" s="1" t="s">
        <v>24</v>
      </c>
      <c r="Q4" s="1" t="s">
        <v>25</v>
      </c>
      <c r="R4" s="55"/>
      <c r="S4" s="1" t="s">
        <v>24</v>
      </c>
      <c r="T4" s="1" t="s">
        <v>25</v>
      </c>
      <c r="U4" s="1" t="s">
        <v>24</v>
      </c>
      <c r="V4" s="1" t="s">
        <v>25</v>
      </c>
      <c r="W4" s="55"/>
      <c r="X4" s="56"/>
      <c r="Y4" s="56"/>
      <c r="Z4" s="1" t="s">
        <v>24</v>
      </c>
      <c r="AA4" s="1" t="s">
        <v>25</v>
      </c>
      <c r="AB4" s="1" t="s">
        <v>24</v>
      </c>
      <c r="AC4" s="1" t="s">
        <v>25</v>
      </c>
      <c r="AD4" s="55"/>
      <c r="AE4" s="1" t="s">
        <v>24</v>
      </c>
      <c r="AF4" s="1" t="s">
        <v>25</v>
      </c>
      <c r="AG4" s="1" t="s">
        <v>24</v>
      </c>
      <c r="AH4" s="1" t="s">
        <v>25</v>
      </c>
      <c r="AI4" s="55"/>
      <c r="AJ4" s="56"/>
      <c r="AK4" s="56"/>
      <c r="AL4" s="1" t="s">
        <v>24</v>
      </c>
      <c r="AM4" s="1" t="s">
        <v>25</v>
      </c>
      <c r="AN4" s="1" t="s">
        <v>24</v>
      </c>
      <c r="AO4" s="1" t="s">
        <v>25</v>
      </c>
      <c r="AP4" s="55"/>
      <c r="AQ4" s="1" t="s">
        <v>24</v>
      </c>
      <c r="AR4" s="1" t="s">
        <v>25</v>
      </c>
      <c r="AS4" s="1" t="s">
        <v>24</v>
      </c>
      <c r="AT4" s="1" t="s">
        <v>25</v>
      </c>
      <c r="AU4" s="55"/>
      <c r="AV4" s="56"/>
      <c r="AW4" s="56"/>
      <c r="AX4" s="1" t="s">
        <v>24</v>
      </c>
      <c r="AY4" s="1" t="s">
        <v>25</v>
      </c>
      <c r="AZ4" s="1" t="s">
        <v>24</v>
      </c>
      <c r="BA4" s="1" t="s">
        <v>25</v>
      </c>
      <c r="BB4" s="55"/>
      <c r="BC4" s="1" t="s">
        <v>24</v>
      </c>
      <c r="BD4" s="1" t="s">
        <v>25</v>
      </c>
      <c r="BE4" s="1" t="s">
        <v>24</v>
      </c>
      <c r="BF4" s="1" t="s">
        <v>25</v>
      </c>
      <c r="BG4" s="55"/>
      <c r="BH4" s="56"/>
      <c r="BI4" s="56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9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22443000</v>
      </c>
      <c r="C5" s="6">
        <f>2500000+10000</f>
        <v>2510000</v>
      </c>
      <c r="D5" s="6">
        <v>2504002.14</v>
      </c>
      <c r="E5" s="6"/>
      <c r="F5" s="6"/>
      <c r="G5" s="6">
        <f>C5-D5</f>
        <v>5997.8599999998696</v>
      </c>
      <c r="H5" s="6">
        <f>2100000+G5+80000</f>
        <v>2185997.86</v>
      </c>
      <c r="I5" s="6">
        <f>2185955.87</f>
        <v>2185955.87</v>
      </c>
      <c r="J5" s="6"/>
      <c r="K5" s="6"/>
      <c r="L5" s="6">
        <f>H5-I5</f>
        <v>41.989999999757856</v>
      </c>
      <c r="M5" s="7">
        <f>SUM(D5+I5)</f>
        <v>4689958.01</v>
      </c>
      <c r="N5" s="6">
        <f>2100000+L5+100000</f>
        <v>2200041.9899999998</v>
      </c>
      <c r="O5" s="6">
        <v>2166948.04</v>
      </c>
      <c r="P5" s="6"/>
      <c r="Q5" s="6"/>
      <c r="R5" s="6">
        <f>N5-O5</f>
        <v>33093.949999999721</v>
      </c>
      <c r="S5" s="6">
        <f>2100000+R5</f>
        <v>2133093.9499999997</v>
      </c>
      <c r="T5" s="6">
        <v>1877047.72</v>
      </c>
      <c r="U5" s="6"/>
      <c r="V5" s="6"/>
      <c r="W5" s="6">
        <f>S5-T5</f>
        <v>256046.22999999975</v>
      </c>
      <c r="X5" s="9">
        <f>O5+T5</f>
        <v>4043995.76</v>
      </c>
      <c r="Y5" s="8">
        <f t="shared" ref="Y5:Y24" si="0">M5+X5</f>
        <v>8733953.7699999996</v>
      </c>
      <c r="Z5" s="8">
        <f>1800000+W5</f>
        <v>2056046.2299999997</v>
      </c>
      <c r="AA5" s="8"/>
      <c r="AB5" s="8"/>
      <c r="AC5" s="8"/>
      <c r="AD5" s="8">
        <f>Z5-AA5</f>
        <v>2056046.2299999997</v>
      </c>
      <c r="AE5" s="8">
        <v>1800000</v>
      </c>
      <c r="AF5" s="8"/>
      <c r="AG5" s="8"/>
      <c r="AH5" s="8"/>
      <c r="AI5" s="8">
        <f>AE5-AF5</f>
        <v>1800000</v>
      </c>
      <c r="AJ5" s="7">
        <f>Z5+AE5</f>
        <v>3856046.2299999995</v>
      </c>
      <c r="AK5" s="8">
        <f t="shared" ref="AK5:AK24" si="1">Y5+AJ5</f>
        <v>12590000</v>
      </c>
      <c r="AL5" s="8">
        <v>1800000</v>
      </c>
      <c r="AM5" s="8"/>
      <c r="AN5" s="8"/>
      <c r="AO5" s="8"/>
      <c r="AP5" s="8">
        <f>AL5-AM5</f>
        <v>1800000</v>
      </c>
      <c r="AQ5" s="8">
        <v>1800000</v>
      </c>
      <c r="AR5" s="8"/>
      <c r="AS5" s="8"/>
      <c r="AT5" s="8"/>
      <c r="AU5" s="8">
        <f>AQ5-AR5</f>
        <v>1800000</v>
      </c>
      <c r="AV5" s="7">
        <f>AL5+AQ5</f>
        <v>3600000</v>
      </c>
      <c r="AW5" s="10">
        <f t="shared" ref="AW5:AW24" si="2">AK5+AV5</f>
        <v>16190000</v>
      </c>
      <c r="AX5" s="8">
        <f>1800000-100000</f>
        <v>1700000</v>
      </c>
      <c r="AY5" s="8"/>
      <c r="AZ5" s="8"/>
      <c r="BA5" s="8"/>
      <c r="BB5" s="8">
        <f>AX5-AY5</f>
        <v>1700000</v>
      </c>
      <c r="BC5" s="8">
        <v>1600000</v>
      </c>
      <c r="BD5" s="8"/>
      <c r="BE5" s="8"/>
      <c r="BF5" s="8"/>
      <c r="BG5" s="8">
        <f>BC5-BD5</f>
        <v>1600000</v>
      </c>
      <c r="BH5" s="7">
        <f>AX5+BC5</f>
        <v>3300000</v>
      </c>
      <c r="BI5" s="10"/>
      <c r="BJ5" s="8">
        <f>1500000-10000</f>
        <v>1490000</v>
      </c>
      <c r="BK5" s="8"/>
      <c r="BL5" s="8"/>
      <c r="BM5" s="8"/>
      <c r="BN5" s="8"/>
      <c r="BO5" s="8">
        <f>1543000-80000</f>
        <v>1463000</v>
      </c>
      <c r="BP5" s="8"/>
      <c r="BQ5" s="8"/>
      <c r="BR5" s="8"/>
      <c r="BS5" s="10"/>
      <c r="BT5" s="9">
        <f>M5+X5+AJ5+AV5+BH5+BJ5+BO5</f>
        <v>22443000</v>
      </c>
      <c r="BU5" s="9">
        <f>F5+K5+Q5+V5+AC5+AH5+AO5+AT5+BA5+BF5+BM5+BR5</f>
        <v>0</v>
      </c>
      <c r="BV5" s="11">
        <f>BT5-BU5</f>
        <v>22443000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28</v>
      </c>
      <c r="B6" s="5">
        <v>6731000</v>
      </c>
      <c r="C6" s="6"/>
      <c r="D6" s="7"/>
      <c r="E6" s="6">
        <f>580000+10000</f>
        <v>590000</v>
      </c>
      <c r="F6" s="6">
        <v>431332.66</v>
      </c>
      <c r="G6" s="6">
        <f>E6-F6</f>
        <v>158667.34000000003</v>
      </c>
      <c r="H6" s="12"/>
      <c r="I6" s="6"/>
      <c r="J6" s="6">
        <f>567000+G6+106000</f>
        <v>831667.34000000008</v>
      </c>
      <c r="K6" s="6">
        <v>551406.30000000005</v>
      </c>
      <c r="L6" s="6">
        <f>J6-K6</f>
        <v>280261.04000000004</v>
      </c>
      <c r="M6" s="7">
        <f>F6+K6</f>
        <v>982738.96</v>
      </c>
      <c r="N6" s="13"/>
      <c r="O6" s="13"/>
      <c r="P6" s="6">
        <f>585000+L6+4913508.03</f>
        <v>5778769.0700000003</v>
      </c>
      <c r="Q6" s="6">
        <v>637722.02</v>
      </c>
      <c r="R6" s="6">
        <f>P6-Q6</f>
        <v>5141047.0500000007</v>
      </c>
      <c r="S6" s="12"/>
      <c r="T6" s="12"/>
      <c r="U6" s="6">
        <f>535000+R6+998731.25</f>
        <v>6674778.3000000007</v>
      </c>
      <c r="V6" s="6">
        <v>630116.32999999996</v>
      </c>
      <c r="W6" s="6">
        <f>U6-V6</f>
        <v>6044661.9700000007</v>
      </c>
      <c r="X6" s="9">
        <f>Q6+V6</f>
        <v>1267838.3500000001</v>
      </c>
      <c r="Y6" s="8">
        <f t="shared" si="0"/>
        <v>2250577.31</v>
      </c>
      <c r="Z6" s="8"/>
      <c r="AA6" s="8"/>
      <c r="AB6" s="8">
        <f>529000+W6</f>
        <v>6573661.9700000007</v>
      </c>
      <c r="AC6" s="8"/>
      <c r="AD6" s="8">
        <f>AB6-AC6</f>
        <v>6573661.9700000007</v>
      </c>
      <c r="AE6" s="10"/>
      <c r="AF6" s="10"/>
      <c r="AG6" s="8">
        <v>485000</v>
      </c>
      <c r="AH6" s="8"/>
      <c r="AI6" s="8">
        <f t="shared" ref="AI6:AI23" si="3">AG6-AH6</f>
        <v>485000</v>
      </c>
      <c r="AJ6" s="7">
        <f t="shared" ref="AJ6:AJ23" si="4">AB6+AG6</f>
        <v>7058661.9700000007</v>
      </c>
      <c r="AK6" s="8">
        <f t="shared" si="1"/>
        <v>9309239.2800000012</v>
      </c>
      <c r="AL6" s="10"/>
      <c r="AM6" s="8"/>
      <c r="AN6" s="8">
        <v>615000</v>
      </c>
      <c r="AO6" s="8"/>
      <c r="AP6" s="8">
        <f>AN6-AO6</f>
        <v>615000</v>
      </c>
      <c r="AQ6" s="10"/>
      <c r="AR6" s="10"/>
      <c r="AS6" s="8">
        <v>528000</v>
      </c>
      <c r="AT6" s="8"/>
      <c r="AU6" s="8">
        <f>AS6-AT6</f>
        <v>528000</v>
      </c>
      <c r="AV6" s="7">
        <f t="shared" ref="AV6:AV23" si="5">AN6+AS6</f>
        <v>1143000</v>
      </c>
      <c r="AW6" s="10">
        <f t="shared" si="2"/>
        <v>10452239.280000001</v>
      </c>
      <c r="AX6" s="10"/>
      <c r="AY6" s="10"/>
      <c r="AZ6" s="8">
        <v>532000</v>
      </c>
      <c r="BA6" s="8"/>
      <c r="BB6" s="8">
        <f>AZ6-BA6</f>
        <v>532000</v>
      </c>
      <c r="BC6" s="10"/>
      <c r="BD6" s="10"/>
      <c r="BE6" s="8">
        <v>485000</v>
      </c>
      <c r="BF6" s="8"/>
      <c r="BG6" s="8">
        <f>BE6-BF6</f>
        <v>485000</v>
      </c>
      <c r="BH6" s="7">
        <f t="shared" ref="BH6:BH23" si="6">AZ6+BE6</f>
        <v>1017000</v>
      </c>
      <c r="BI6" s="10"/>
      <c r="BJ6" s="10"/>
      <c r="BK6" s="10"/>
      <c r="BL6" s="8">
        <v>440000</v>
      </c>
      <c r="BM6" s="8"/>
      <c r="BN6" s="10"/>
      <c r="BO6" s="10"/>
      <c r="BP6" s="10"/>
      <c r="BQ6" s="8">
        <v>850000</v>
      </c>
      <c r="BR6" s="8"/>
      <c r="BS6" s="10"/>
      <c r="BT6" s="9">
        <f>M6+X6+AJ6+AV6+BH6+BL6+BQ6</f>
        <v>12759239.280000001</v>
      </c>
      <c r="BU6" s="9">
        <f>F6+K6+Q6+V6+AC6+AH6+AO6+AT6+BA6+BF6+BM6+BR6</f>
        <v>2250577.31</v>
      </c>
      <c r="BV6" s="11">
        <f>BT6-BU6</f>
        <v>10508661.970000001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41</v>
      </c>
      <c r="B7" s="5">
        <v>3212200</v>
      </c>
      <c r="C7" s="6"/>
      <c r="D7" s="7"/>
      <c r="E7" s="6">
        <f>250000+20000</f>
        <v>270000</v>
      </c>
      <c r="F7" s="6">
        <v>236765.66</v>
      </c>
      <c r="G7" s="6">
        <f t="shared" ref="G7:G27" si="7">E7-F7</f>
        <v>33234.339999999997</v>
      </c>
      <c r="H7" s="12"/>
      <c r="I7" s="6"/>
      <c r="J7" s="6">
        <f>258000+G7</f>
        <v>291234.33999999997</v>
      </c>
      <c r="K7" s="6">
        <v>250519.3</v>
      </c>
      <c r="L7" s="6">
        <f t="shared" ref="L7:L26" si="8">J7-K7</f>
        <v>40715.039999999979</v>
      </c>
      <c r="M7" s="7">
        <f t="shared" ref="M7:M23" si="9">F7+K7</f>
        <v>487284.95999999996</v>
      </c>
      <c r="N7" s="13"/>
      <c r="O7" s="13"/>
      <c r="P7" s="6">
        <f>238000+L7</f>
        <v>278715.03999999998</v>
      </c>
      <c r="Q7" s="6">
        <v>239091.76</v>
      </c>
      <c r="R7" s="6">
        <f t="shared" ref="R7:R23" si="10">P7-Q7</f>
        <v>39623.27999999997</v>
      </c>
      <c r="S7" s="12"/>
      <c r="T7" s="12"/>
      <c r="U7" s="6">
        <f>256000+R7+48500</f>
        <v>344123.27999999997</v>
      </c>
      <c r="V7" s="6">
        <v>254211.63</v>
      </c>
      <c r="W7" s="6">
        <f t="shared" ref="W7:W23" si="11">U7-V7</f>
        <v>89911.649999999965</v>
      </c>
      <c r="X7" s="9">
        <f t="shared" ref="X7:X23" si="12">Q7+V7</f>
        <v>493303.39</v>
      </c>
      <c r="Y7" s="8"/>
      <c r="Z7" s="8"/>
      <c r="AA7" s="8"/>
      <c r="AB7" s="8">
        <f>238000+W7</f>
        <v>327911.64999999997</v>
      </c>
      <c r="AC7" s="8"/>
      <c r="AD7" s="8">
        <f t="shared" ref="AD7:AD23" si="13">AB7-AC7</f>
        <v>327911.64999999997</v>
      </c>
      <c r="AE7" s="10"/>
      <c r="AF7" s="10"/>
      <c r="AG7" s="8">
        <v>252000</v>
      </c>
      <c r="AH7" s="8"/>
      <c r="AI7" s="8">
        <f t="shared" si="3"/>
        <v>252000</v>
      </c>
      <c r="AJ7" s="7">
        <f t="shared" si="4"/>
        <v>579911.64999999991</v>
      </c>
      <c r="AK7" s="8"/>
      <c r="AL7" s="10"/>
      <c r="AM7" s="8"/>
      <c r="AN7" s="8">
        <v>283000</v>
      </c>
      <c r="AO7" s="8"/>
      <c r="AP7" s="8">
        <f>AN7-AO7</f>
        <v>283000</v>
      </c>
      <c r="AQ7" s="10"/>
      <c r="AR7" s="10"/>
      <c r="AS7" s="8">
        <v>264000</v>
      </c>
      <c r="AT7" s="8"/>
      <c r="AU7" s="8">
        <f t="shared" ref="AU7:AU27" si="14">AS7-AT7</f>
        <v>264000</v>
      </c>
      <c r="AV7" s="7">
        <f t="shared" si="5"/>
        <v>547000</v>
      </c>
      <c r="AW7" s="10"/>
      <c r="AX7" s="10"/>
      <c r="AY7" s="10"/>
      <c r="AZ7" s="8">
        <v>242000</v>
      </c>
      <c r="BA7" s="8"/>
      <c r="BB7" s="8">
        <f t="shared" ref="BB7:BB26" si="15">AZ7-BA7</f>
        <v>242000</v>
      </c>
      <c r="BC7" s="10"/>
      <c r="BD7" s="10"/>
      <c r="BE7" s="8">
        <v>238000</v>
      </c>
      <c r="BF7" s="8"/>
      <c r="BG7" s="8">
        <f t="shared" ref="BG7:BG27" si="16">BE7-BF7</f>
        <v>238000</v>
      </c>
      <c r="BH7" s="9">
        <f t="shared" si="6"/>
        <v>480000</v>
      </c>
      <c r="BI7" s="10"/>
      <c r="BJ7" s="10"/>
      <c r="BK7" s="10"/>
      <c r="BL7" s="8">
        <v>276200</v>
      </c>
      <c r="BM7" s="8"/>
      <c r="BN7" s="10"/>
      <c r="BO7" s="10"/>
      <c r="BP7" s="10"/>
      <c r="BQ7" s="8">
        <v>417000</v>
      </c>
      <c r="BR7" s="8"/>
      <c r="BS7" s="10"/>
      <c r="BT7" s="9">
        <f t="shared" ref="BT7:BT23" si="17">M7+X7+AJ7+AV7+BH7+BL7+BQ7</f>
        <v>3280700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42</v>
      </c>
      <c r="B8" s="5">
        <v>9634000</v>
      </c>
      <c r="C8" s="6"/>
      <c r="D8" s="7"/>
      <c r="E8" s="6">
        <f>815000+505000</f>
        <v>1320000</v>
      </c>
      <c r="F8" s="6">
        <v>629943.39</v>
      </c>
      <c r="G8" s="6">
        <f t="shared" si="7"/>
        <v>690056.61</v>
      </c>
      <c r="H8" s="12"/>
      <c r="I8" s="6"/>
      <c r="J8" s="6">
        <f>786000+G8+556200</f>
        <v>2032256.6099999999</v>
      </c>
      <c r="K8" s="6">
        <v>634449.73</v>
      </c>
      <c r="L8" s="6">
        <f t="shared" si="8"/>
        <v>1397806.88</v>
      </c>
      <c r="M8" s="7">
        <f t="shared" si="9"/>
        <v>1264393.1200000001</v>
      </c>
      <c r="N8" s="13"/>
      <c r="O8" s="13"/>
      <c r="P8" s="6">
        <f>715000+L8+720000</f>
        <v>2832806.88</v>
      </c>
      <c r="Q8" s="6">
        <v>903242.07</v>
      </c>
      <c r="R8" s="6">
        <f t="shared" si="10"/>
        <v>1929564.81</v>
      </c>
      <c r="S8" s="12"/>
      <c r="T8" s="12"/>
      <c r="U8" s="6">
        <f>734000+R8-115000</f>
        <v>2548564.81</v>
      </c>
      <c r="V8" s="6">
        <v>668975.62</v>
      </c>
      <c r="W8" s="6">
        <f t="shared" si="11"/>
        <v>1879589.19</v>
      </c>
      <c r="X8" s="9">
        <f t="shared" si="12"/>
        <v>1572217.69</v>
      </c>
      <c r="Y8" s="8"/>
      <c r="Z8" s="8"/>
      <c r="AA8" s="8"/>
      <c r="AB8" s="8">
        <f>727000+W8</f>
        <v>2606589.19</v>
      </c>
      <c r="AC8" s="8"/>
      <c r="AD8" s="8">
        <f t="shared" si="13"/>
        <v>2606589.19</v>
      </c>
      <c r="AE8" s="10"/>
      <c r="AF8" s="10"/>
      <c r="AG8" s="8">
        <v>798000</v>
      </c>
      <c r="AH8" s="8"/>
      <c r="AI8" s="8">
        <f>AG8-AH8</f>
        <v>798000</v>
      </c>
      <c r="AJ8" s="9">
        <f t="shared" si="4"/>
        <v>3404589.19</v>
      </c>
      <c r="AK8" s="8"/>
      <c r="AL8" s="10"/>
      <c r="AM8" s="8"/>
      <c r="AN8" s="8">
        <v>747000</v>
      </c>
      <c r="AO8" s="8"/>
      <c r="AP8" s="8">
        <f t="shared" ref="AP8:AP27" si="18">AN8-AO8</f>
        <v>747000</v>
      </c>
      <c r="AQ8" s="10"/>
      <c r="AR8" s="10"/>
      <c r="AS8" s="8">
        <v>790000</v>
      </c>
      <c r="AT8" s="8"/>
      <c r="AU8" s="8">
        <f t="shared" si="14"/>
        <v>790000</v>
      </c>
      <c r="AV8" s="9">
        <f t="shared" si="5"/>
        <v>1537000</v>
      </c>
      <c r="AW8" s="10"/>
      <c r="AX8" s="10"/>
      <c r="AY8" s="10"/>
      <c r="AZ8" s="8">
        <v>805000</v>
      </c>
      <c r="BA8" s="8"/>
      <c r="BB8" s="8">
        <f t="shared" si="15"/>
        <v>805000</v>
      </c>
      <c r="BC8" s="10"/>
      <c r="BD8" s="10"/>
      <c r="BE8" s="8">
        <v>750000</v>
      </c>
      <c r="BF8" s="8"/>
      <c r="BG8" s="8">
        <f t="shared" si="16"/>
        <v>750000</v>
      </c>
      <c r="BH8" s="9">
        <f t="shared" si="6"/>
        <v>1555000</v>
      </c>
      <c r="BI8" s="10"/>
      <c r="BJ8" s="10"/>
      <c r="BK8" s="10"/>
      <c r="BL8" s="8">
        <v>750000</v>
      </c>
      <c r="BM8" s="8"/>
      <c r="BN8" s="10"/>
      <c r="BO8" s="10"/>
      <c r="BP8" s="10"/>
      <c r="BQ8" s="8">
        <v>1217000</v>
      </c>
      <c r="BR8" s="8"/>
      <c r="BS8" s="10"/>
      <c r="BT8" s="9">
        <f>M8+X8+AJ8+AV8+BH8+BL8+BQ8</f>
        <v>11300200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29</v>
      </c>
      <c r="B9" s="5">
        <v>13799600</v>
      </c>
      <c r="C9" s="6"/>
      <c r="D9" s="7"/>
      <c r="E9" s="6">
        <f>1400000+2470000</f>
        <v>3870000</v>
      </c>
      <c r="F9" s="6">
        <v>1346721.46</v>
      </c>
      <c r="G9" s="6">
        <f t="shared" si="7"/>
        <v>2523278.54</v>
      </c>
      <c r="H9" s="12"/>
      <c r="I9" s="6"/>
      <c r="J9" s="6">
        <f>1340000+G9</f>
        <v>3863278.54</v>
      </c>
      <c r="K9" s="6">
        <v>1132141.28</v>
      </c>
      <c r="L9" s="6">
        <f t="shared" si="8"/>
        <v>2731137.26</v>
      </c>
      <c r="M9" s="7">
        <f t="shared" si="9"/>
        <v>2478862.7400000002</v>
      </c>
      <c r="N9" s="13"/>
      <c r="O9" s="13"/>
      <c r="P9" s="6">
        <f>1280000+L9+970000</f>
        <v>4981137.26</v>
      </c>
      <c r="Q9" s="6">
        <v>1757084.34</v>
      </c>
      <c r="R9" s="6">
        <f t="shared" si="10"/>
        <v>3224052.92</v>
      </c>
      <c r="S9" s="12"/>
      <c r="T9" s="12"/>
      <c r="U9" s="6">
        <f>1220000+R9-204000</f>
        <v>4240052.92</v>
      </c>
      <c r="V9" s="6">
        <v>1398315.79</v>
      </c>
      <c r="W9" s="6">
        <f t="shared" si="11"/>
        <v>2841737.13</v>
      </c>
      <c r="X9" s="9">
        <f t="shared" si="12"/>
        <v>3155400.13</v>
      </c>
      <c r="Y9" s="8">
        <f t="shared" si="0"/>
        <v>5634262.8700000001</v>
      </c>
      <c r="Z9" s="8"/>
      <c r="AA9" s="8"/>
      <c r="AB9" s="8">
        <f>1270000+W9</f>
        <v>4111737.13</v>
      </c>
      <c r="AC9" s="8"/>
      <c r="AD9" s="8">
        <f t="shared" si="13"/>
        <v>4111737.13</v>
      </c>
      <c r="AE9" s="10"/>
      <c r="AF9" s="10"/>
      <c r="AG9" s="8">
        <v>1230000</v>
      </c>
      <c r="AH9" s="8"/>
      <c r="AI9" s="8">
        <f t="shared" si="3"/>
        <v>1230000</v>
      </c>
      <c r="AJ9" s="9">
        <f t="shared" si="4"/>
        <v>5341737.13</v>
      </c>
      <c r="AK9" s="8">
        <f t="shared" si="1"/>
        <v>10976000</v>
      </c>
      <c r="AL9" s="10"/>
      <c r="AM9" s="8"/>
      <c r="AN9" s="8">
        <v>1250000</v>
      </c>
      <c r="AO9" s="8"/>
      <c r="AP9" s="8">
        <f t="shared" si="18"/>
        <v>1250000</v>
      </c>
      <c r="AQ9" s="10"/>
      <c r="AR9" s="10"/>
      <c r="AS9" s="8">
        <v>1294000</v>
      </c>
      <c r="AT9" s="8"/>
      <c r="AU9" s="8">
        <f t="shared" si="14"/>
        <v>1294000</v>
      </c>
      <c r="AV9" s="9">
        <f t="shared" si="5"/>
        <v>2544000</v>
      </c>
      <c r="AW9" s="10">
        <f t="shared" si="2"/>
        <v>13520000</v>
      </c>
      <c r="AX9" s="10"/>
      <c r="AY9" s="10"/>
      <c r="AZ9" s="8">
        <v>980000</v>
      </c>
      <c r="BA9" s="8"/>
      <c r="BB9" s="8">
        <f t="shared" si="15"/>
        <v>980000</v>
      </c>
      <c r="BC9" s="10"/>
      <c r="BD9" s="10"/>
      <c r="BE9" s="8">
        <v>830000</v>
      </c>
      <c r="BF9" s="8"/>
      <c r="BG9" s="8">
        <f t="shared" si="16"/>
        <v>830000</v>
      </c>
      <c r="BH9" s="9">
        <f t="shared" si="6"/>
        <v>1810000</v>
      </c>
      <c r="BI9" s="10"/>
      <c r="BJ9" s="10"/>
      <c r="BK9" s="10"/>
      <c r="BL9" s="8">
        <v>740000</v>
      </c>
      <c r="BM9" s="8"/>
      <c r="BN9" s="10"/>
      <c r="BO9" s="10"/>
      <c r="BP9" s="10"/>
      <c r="BQ9" s="8">
        <v>965600</v>
      </c>
      <c r="BR9" s="8"/>
      <c r="BS9" s="10"/>
      <c r="BT9" s="9">
        <f t="shared" si="17"/>
        <v>17035600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43</v>
      </c>
      <c r="B10" s="5">
        <v>91764200</v>
      </c>
      <c r="C10" s="6"/>
      <c r="D10" s="7"/>
      <c r="E10" s="6">
        <f>7230000+462107.7</f>
        <v>7692107.7000000002</v>
      </c>
      <c r="F10" s="6">
        <v>7206586.2000000002</v>
      </c>
      <c r="G10" s="6">
        <f t="shared" si="7"/>
        <v>485521.5</v>
      </c>
      <c r="H10" s="12"/>
      <c r="I10" s="6"/>
      <c r="J10" s="6">
        <f>7189000+G10+208700</f>
        <v>7883221.5</v>
      </c>
      <c r="K10" s="6">
        <v>7635961.1200000001</v>
      </c>
      <c r="L10" s="6">
        <f t="shared" si="8"/>
        <v>247260.37999999989</v>
      </c>
      <c r="M10" s="7">
        <f t="shared" si="9"/>
        <v>14842547.32</v>
      </c>
      <c r="N10" s="13"/>
      <c r="O10" s="13"/>
      <c r="P10" s="6">
        <f>7050000+L10+4322342</f>
        <v>11619602.379999999</v>
      </c>
      <c r="Q10" s="6">
        <v>8286165.5099999998</v>
      </c>
      <c r="R10" s="6">
        <f t="shared" si="10"/>
        <v>3333436.8699999992</v>
      </c>
      <c r="S10" s="12"/>
      <c r="T10" s="12"/>
      <c r="U10" s="6">
        <f>7890000+R10+681600</f>
        <v>11905036.869999999</v>
      </c>
      <c r="V10" s="6">
        <v>7526185.2599999998</v>
      </c>
      <c r="W10" s="6">
        <f t="shared" si="11"/>
        <v>4378851.6099999994</v>
      </c>
      <c r="X10" s="9">
        <f t="shared" si="12"/>
        <v>15812350.77</v>
      </c>
      <c r="Y10" s="8"/>
      <c r="Z10" s="8"/>
      <c r="AA10" s="8"/>
      <c r="AB10" s="8">
        <f>7290000+W10</f>
        <v>11668851.609999999</v>
      </c>
      <c r="AC10" s="8"/>
      <c r="AD10" s="8">
        <f t="shared" si="13"/>
        <v>11668851.609999999</v>
      </c>
      <c r="AE10" s="10"/>
      <c r="AF10" s="10"/>
      <c r="AG10" s="8">
        <v>7402000</v>
      </c>
      <c r="AH10" s="8"/>
      <c r="AI10" s="8">
        <f t="shared" si="3"/>
        <v>7402000</v>
      </c>
      <c r="AJ10" s="9">
        <f t="shared" si="4"/>
        <v>19070851.609999999</v>
      </c>
      <c r="AK10" s="8"/>
      <c r="AL10" s="10"/>
      <c r="AM10" s="8"/>
      <c r="AN10" s="8">
        <v>7320000</v>
      </c>
      <c r="AO10" s="8"/>
      <c r="AP10" s="8">
        <f t="shared" si="18"/>
        <v>7320000</v>
      </c>
      <c r="AQ10" s="10"/>
      <c r="AR10" s="10"/>
      <c r="AS10" s="8">
        <v>7201000</v>
      </c>
      <c r="AT10" s="8"/>
      <c r="AU10" s="8">
        <f t="shared" si="14"/>
        <v>7201000</v>
      </c>
      <c r="AV10" s="9">
        <f t="shared" si="5"/>
        <v>14521000</v>
      </c>
      <c r="AW10" s="10"/>
      <c r="AX10" s="10"/>
      <c r="AY10" s="10"/>
      <c r="AZ10" s="8">
        <v>7320000</v>
      </c>
      <c r="BA10" s="8"/>
      <c r="BB10" s="8">
        <f t="shared" si="15"/>
        <v>7320000</v>
      </c>
      <c r="BC10" s="10"/>
      <c r="BD10" s="10"/>
      <c r="BE10" s="8">
        <v>7450000</v>
      </c>
      <c r="BF10" s="8"/>
      <c r="BG10" s="8">
        <f t="shared" si="16"/>
        <v>7450000</v>
      </c>
      <c r="BH10" s="9">
        <f t="shared" si="6"/>
        <v>14770000</v>
      </c>
      <c r="BI10" s="10"/>
      <c r="BJ10" s="10"/>
      <c r="BK10" s="10"/>
      <c r="BL10" s="8">
        <v>6395000</v>
      </c>
      <c r="BM10" s="8"/>
      <c r="BN10" s="10"/>
      <c r="BO10" s="10"/>
      <c r="BP10" s="10"/>
      <c r="BQ10" s="8">
        <v>12027200</v>
      </c>
      <c r="BR10" s="8"/>
      <c r="BS10" s="10"/>
      <c r="BT10" s="9">
        <f t="shared" si="17"/>
        <v>97438949.700000003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30</v>
      </c>
      <c r="B11" s="5">
        <v>154414000</v>
      </c>
      <c r="C11" s="6"/>
      <c r="D11" s="7"/>
      <c r="E11" s="6">
        <f>10500000+2195831.07</f>
        <v>12695831.07</v>
      </c>
      <c r="F11" s="6">
        <v>11529146.869999999</v>
      </c>
      <c r="G11" s="6">
        <f t="shared" si="7"/>
        <v>1166684.2000000011</v>
      </c>
      <c r="H11" s="6"/>
      <c r="I11" s="6"/>
      <c r="J11" s="6">
        <f>10450000+G11+481090.82</f>
        <v>12097775.020000001</v>
      </c>
      <c r="K11" s="6">
        <v>8324734.5300000003</v>
      </c>
      <c r="L11" s="6">
        <f t="shared" si="8"/>
        <v>3773040.4900000012</v>
      </c>
      <c r="M11" s="7">
        <f t="shared" si="9"/>
        <v>19853881.399999999</v>
      </c>
      <c r="N11" s="13"/>
      <c r="O11" s="13"/>
      <c r="P11" s="6">
        <f>10850000+L11+689448.59</f>
        <v>15312489.080000002</v>
      </c>
      <c r="Q11" s="6">
        <v>11017656.060000001</v>
      </c>
      <c r="R11" s="6">
        <f t="shared" si="10"/>
        <v>4294833.0200000014</v>
      </c>
      <c r="S11" s="12"/>
      <c r="T11" s="12"/>
      <c r="U11" s="6">
        <f>11930000+R11</f>
        <v>16224833.020000001</v>
      </c>
      <c r="V11" s="6">
        <v>10734810.699999999</v>
      </c>
      <c r="W11" s="6">
        <f t="shared" si="11"/>
        <v>5490022.3200000022</v>
      </c>
      <c r="X11" s="9">
        <f t="shared" si="12"/>
        <v>21752466.759999998</v>
      </c>
      <c r="Y11" s="8">
        <f t="shared" si="0"/>
        <v>41606348.159999996</v>
      </c>
      <c r="Z11" s="8"/>
      <c r="AA11" s="8"/>
      <c r="AB11" s="6">
        <f>12340000+W11</f>
        <v>17830022.32</v>
      </c>
      <c r="AC11" s="8"/>
      <c r="AD11" s="8">
        <f t="shared" si="13"/>
        <v>17830022.32</v>
      </c>
      <c r="AE11" s="10"/>
      <c r="AF11" s="10"/>
      <c r="AG11" s="6">
        <v>12120000</v>
      </c>
      <c r="AH11" s="8"/>
      <c r="AI11" s="8">
        <f t="shared" si="3"/>
        <v>12120000</v>
      </c>
      <c r="AJ11" s="9">
        <f t="shared" si="4"/>
        <v>29950022.32</v>
      </c>
      <c r="AK11" s="8">
        <f t="shared" si="1"/>
        <v>71556370.479999989</v>
      </c>
      <c r="AL11" s="10"/>
      <c r="AM11" s="8"/>
      <c r="AN11" s="6">
        <v>13012000</v>
      </c>
      <c r="AO11" s="8"/>
      <c r="AP11" s="8">
        <f t="shared" si="18"/>
        <v>13012000</v>
      </c>
      <c r="AQ11" s="10"/>
      <c r="AR11" s="10"/>
      <c r="AS11" s="6">
        <v>12290000</v>
      </c>
      <c r="AT11" s="8"/>
      <c r="AU11" s="8">
        <f t="shared" si="14"/>
        <v>12290000</v>
      </c>
      <c r="AV11" s="9">
        <f t="shared" si="5"/>
        <v>25302000</v>
      </c>
      <c r="AW11" s="10">
        <f t="shared" si="2"/>
        <v>96858370.479999989</v>
      </c>
      <c r="AX11" s="10"/>
      <c r="AY11" s="10"/>
      <c r="AZ11" s="6">
        <v>12415000</v>
      </c>
      <c r="BA11" s="8"/>
      <c r="BB11" s="8">
        <f t="shared" si="15"/>
        <v>12415000</v>
      </c>
      <c r="BC11" s="10"/>
      <c r="BD11" s="10"/>
      <c r="BE11" s="6">
        <v>12850000</v>
      </c>
      <c r="BF11" s="8"/>
      <c r="BG11" s="8">
        <f t="shared" si="16"/>
        <v>12850000</v>
      </c>
      <c r="BH11" s="9">
        <f t="shared" si="6"/>
        <v>25265000</v>
      </c>
      <c r="BI11" s="10"/>
      <c r="BJ11" s="10"/>
      <c r="BK11" s="10"/>
      <c r="BL11" s="6">
        <v>14144650</v>
      </c>
      <c r="BM11" s="8"/>
      <c r="BN11" s="10"/>
      <c r="BO11" s="10"/>
      <c r="BP11" s="10"/>
      <c r="BQ11" s="8">
        <v>21512350</v>
      </c>
      <c r="BR11" s="8"/>
      <c r="BS11" s="10"/>
      <c r="BT11" s="9">
        <f t="shared" si="17"/>
        <v>157780370.47999999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44</v>
      </c>
      <c r="B12" s="5">
        <v>3518000</v>
      </c>
      <c r="C12" s="6"/>
      <c r="D12" s="7"/>
      <c r="E12" s="6">
        <f>240000+237100-55000</f>
        <v>422100</v>
      </c>
      <c r="F12" s="6">
        <v>89809.47</v>
      </c>
      <c r="G12" s="6">
        <f t="shared" si="7"/>
        <v>332290.53000000003</v>
      </c>
      <c r="H12" s="6"/>
      <c r="I12" s="6"/>
      <c r="J12" s="6">
        <f>223000+G12-6700</f>
        <v>548590.53</v>
      </c>
      <c r="K12" s="6">
        <v>45625.56</v>
      </c>
      <c r="L12" s="6">
        <f t="shared" si="8"/>
        <v>502964.97000000003</v>
      </c>
      <c r="M12" s="7">
        <f t="shared" si="9"/>
        <v>135435.03</v>
      </c>
      <c r="N12" s="13"/>
      <c r="O12" s="13"/>
      <c r="P12" s="6">
        <f>194000+L12+2861000-2700320.62</f>
        <v>857644.34999999963</v>
      </c>
      <c r="Q12" s="6">
        <v>22311.43</v>
      </c>
      <c r="R12" s="6">
        <f t="shared" si="10"/>
        <v>835332.91999999958</v>
      </c>
      <c r="S12" s="12"/>
      <c r="T12" s="12"/>
      <c r="U12" s="6">
        <f>R12-538311.01</f>
        <v>297021.90999999957</v>
      </c>
      <c r="V12" s="6">
        <v>5949.95</v>
      </c>
      <c r="W12" s="6">
        <f t="shared" si="11"/>
        <v>291071.95999999956</v>
      </c>
      <c r="X12" s="9">
        <f t="shared" si="12"/>
        <v>28261.38</v>
      </c>
      <c r="Y12" s="8"/>
      <c r="Z12" s="8"/>
      <c r="AA12" s="8"/>
      <c r="AB12" s="8">
        <f>W12</f>
        <v>291071.95999999956</v>
      </c>
      <c r="AC12" s="8"/>
      <c r="AD12" s="8">
        <f t="shared" si="13"/>
        <v>291071.95999999956</v>
      </c>
      <c r="AE12" s="10"/>
      <c r="AF12" s="10"/>
      <c r="AG12" s="8">
        <v>0</v>
      </c>
      <c r="AH12" s="8"/>
      <c r="AI12" s="8">
        <f t="shared" si="3"/>
        <v>0</v>
      </c>
      <c r="AJ12" s="9">
        <f t="shared" si="4"/>
        <v>291071.95999999956</v>
      </c>
      <c r="AK12" s="8"/>
      <c r="AL12" s="10"/>
      <c r="AM12" s="8"/>
      <c r="AN12" s="8">
        <v>0</v>
      </c>
      <c r="AO12" s="8"/>
      <c r="AP12" s="8">
        <f t="shared" si="18"/>
        <v>0</v>
      </c>
      <c r="AQ12" s="10"/>
      <c r="AR12" s="10"/>
      <c r="AS12" s="8">
        <v>0</v>
      </c>
      <c r="AT12" s="8"/>
      <c r="AU12" s="8">
        <f t="shared" si="14"/>
        <v>0</v>
      </c>
      <c r="AV12" s="9">
        <f t="shared" si="5"/>
        <v>0</v>
      </c>
      <c r="AW12" s="10"/>
      <c r="AX12" s="10"/>
      <c r="AY12" s="10"/>
      <c r="AZ12" s="8">
        <v>0</v>
      </c>
      <c r="BA12" s="8"/>
      <c r="BB12" s="8">
        <f t="shared" si="15"/>
        <v>0</v>
      </c>
      <c r="BC12" s="10"/>
      <c r="BD12" s="10"/>
      <c r="BE12" s="8">
        <v>0</v>
      </c>
      <c r="BF12" s="8"/>
      <c r="BG12" s="8">
        <f t="shared" si="16"/>
        <v>0</v>
      </c>
      <c r="BH12" s="9">
        <f t="shared" si="6"/>
        <v>0</v>
      </c>
      <c r="BI12" s="10"/>
      <c r="BJ12" s="10"/>
      <c r="BK12" s="10"/>
      <c r="BL12" s="8">
        <v>0</v>
      </c>
      <c r="BM12" s="8"/>
      <c r="BN12" s="10"/>
      <c r="BO12" s="10"/>
      <c r="BP12" s="10"/>
      <c r="BQ12" s="8">
        <v>0</v>
      </c>
      <c r="BR12" s="8"/>
      <c r="BS12" s="10"/>
      <c r="BT12" s="9">
        <f t="shared" si="17"/>
        <v>454768.36999999953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38</v>
      </c>
      <c r="B13" s="5">
        <v>7281500</v>
      </c>
      <c r="C13" s="6"/>
      <c r="D13" s="7"/>
      <c r="E13" s="6">
        <f>580000+179000-200000</f>
        <v>559000</v>
      </c>
      <c r="F13" s="6">
        <v>302979.13</v>
      </c>
      <c r="G13" s="6">
        <f t="shared" si="7"/>
        <v>256020.87</v>
      </c>
      <c r="H13" s="6"/>
      <c r="I13" s="6"/>
      <c r="J13" s="6">
        <f>860000+G13+466832.58</f>
        <v>1582853.4500000002</v>
      </c>
      <c r="K13" s="6">
        <v>294056</v>
      </c>
      <c r="L13" s="6">
        <f t="shared" si="8"/>
        <v>1288797.4500000002</v>
      </c>
      <c r="M13" s="7">
        <f t="shared" si="9"/>
        <v>597035.13</v>
      </c>
      <c r="N13" s="13"/>
      <c r="O13" s="13"/>
      <c r="P13" s="6">
        <f>234000+L13+5607500-6656815.14</f>
        <v>473482.31000000052</v>
      </c>
      <c r="Q13" s="6">
        <v>22747.05</v>
      </c>
      <c r="R13" s="6">
        <f t="shared" si="10"/>
        <v>450735.26000000053</v>
      </c>
      <c r="S13" s="12"/>
      <c r="T13" s="12"/>
      <c r="U13" s="6">
        <f>R13-64740.08</f>
        <v>385995.18000000052</v>
      </c>
      <c r="V13" s="6">
        <v>5873.32</v>
      </c>
      <c r="W13" s="6">
        <f t="shared" si="11"/>
        <v>380121.86000000051</v>
      </c>
      <c r="X13" s="9">
        <f t="shared" si="12"/>
        <v>28620.37</v>
      </c>
      <c r="Y13" s="8">
        <f t="shared" si="0"/>
        <v>625655.5</v>
      </c>
      <c r="Z13" s="8"/>
      <c r="AA13" s="8"/>
      <c r="AB13" s="8">
        <f>W13</f>
        <v>380121.86000000051</v>
      </c>
      <c r="AC13" s="8"/>
      <c r="AD13" s="8">
        <f t="shared" si="13"/>
        <v>380121.86000000051</v>
      </c>
      <c r="AE13" s="10"/>
      <c r="AF13" s="10"/>
      <c r="AG13" s="8">
        <v>0</v>
      </c>
      <c r="AH13" s="8"/>
      <c r="AI13" s="8">
        <f t="shared" si="3"/>
        <v>0</v>
      </c>
      <c r="AJ13" s="9">
        <f t="shared" si="4"/>
        <v>380121.86000000051</v>
      </c>
      <c r="AK13" s="8">
        <f t="shared" si="1"/>
        <v>1005777.3600000006</v>
      </c>
      <c r="AL13" s="10"/>
      <c r="AM13" s="8"/>
      <c r="AN13" s="8">
        <v>0</v>
      </c>
      <c r="AO13" s="8"/>
      <c r="AP13" s="8">
        <f t="shared" si="18"/>
        <v>0</v>
      </c>
      <c r="AQ13" s="10"/>
      <c r="AR13" s="10"/>
      <c r="AS13" s="8">
        <v>0</v>
      </c>
      <c r="AT13" s="8"/>
      <c r="AU13" s="8">
        <f t="shared" si="14"/>
        <v>0</v>
      </c>
      <c r="AV13" s="9">
        <f t="shared" si="5"/>
        <v>0</v>
      </c>
      <c r="AW13" s="10">
        <f t="shared" si="2"/>
        <v>1005777.3600000006</v>
      </c>
      <c r="AX13" s="10"/>
      <c r="AY13" s="10"/>
      <c r="AZ13" s="8">
        <v>0</v>
      </c>
      <c r="BA13" s="8"/>
      <c r="BB13" s="8">
        <f t="shared" si="15"/>
        <v>0</v>
      </c>
      <c r="BC13" s="10"/>
      <c r="BD13" s="10"/>
      <c r="BE13" s="8">
        <v>0</v>
      </c>
      <c r="BF13" s="8"/>
      <c r="BG13" s="8">
        <f>BE13-BF13</f>
        <v>0</v>
      </c>
      <c r="BH13" s="9">
        <f t="shared" si="6"/>
        <v>0</v>
      </c>
      <c r="BI13" s="10"/>
      <c r="BJ13" s="10"/>
      <c r="BK13" s="10"/>
      <c r="BL13" s="8">
        <v>0</v>
      </c>
      <c r="BM13" s="8"/>
      <c r="BN13" s="10"/>
      <c r="BO13" s="10"/>
      <c r="BP13" s="10"/>
      <c r="BQ13" s="8">
        <v>0</v>
      </c>
      <c r="BR13" s="8"/>
      <c r="BS13" s="10"/>
      <c r="BT13" s="9">
        <f t="shared" si="17"/>
        <v>1005777.3600000006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3624000</v>
      </c>
      <c r="C14" s="6"/>
      <c r="D14" s="7"/>
      <c r="E14" s="6">
        <f>270000+703968.85</f>
        <v>973968.85</v>
      </c>
      <c r="F14" s="6">
        <v>192501.72</v>
      </c>
      <c r="G14" s="6">
        <f t="shared" si="7"/>
        <v>781467.13</v>
      </c>
      <c r="H14" s="6"/>
      <c r="I14" s="6"/>
      <c r="J14" s="6">
        <f>318000+G14+7000</f>
        <v>1106467.1299999999</v>
      </c>
      <c r="K14" s="6">
        <v>231577.97</v>
      </c>
      <c r="L14" s="6">
        <f>J14-K14</f>
        <v>874889.15999999992</v>
      </c>
      <c r="M14" s="7">
        <f t="shared" si="9"/>
        <v>424079.69</v>
      </c>
      <c r="N14" s="6"/>
      <c r="O14" s="13"/>
      <c r="P14" s="6">
        <f>315000+L14-22000</f>
        <v>1167889.1599999999</v>
      </c>
      <c r="Q14" s="6">
        <v>279800.71999999997</v>
      </c>
      <c r="R14" s="6">
        <f>P14-Q14</f>
        <v>888088.44</v>
      </c>
      <c r="S14" s="12"/>
      <c r="T14" s="12"/>
      <c r="U14" s="6">
        <f>320000+R14-270000</f>
        <v>938088.44</v>
      </c>
      <c r="V14" s="6">
        <v>235542.23</v>
      </c>
      <c r="W14" s="6">
        <f t="shared" si="11"/>
        <v>702546.21</v>
      </c>
      <c r="X14" s="9">
        <f t="shared" si="12"/>
        <v>515342.94999999995</v>
      </c>
      <c r="Y14" s="8"/>
      <c r="Z14" s="8"/>
      <c r="AA14" s="8"/>
      <c r="AB14" s="8">
        <f>374000+W14</f>
        <v>1076546.21</v>
      </c>
      <c r="AC14" s="8"/>
      <c r="AD14" s="8">
        <f t="shared" si="13"/>
        <v>1076546.21</v>
      </c>
      <c r="AE14" s="10"/>
      <c r="AF14" s="10"/>
      <c r="AG14" s="8">
        <v>285000</v>
      </c>
      <c r="AH14" s="8"/>
      <c r="AI14" s="8">
        <f t="shared" si="3"/>
        <v>285000</v>
      </c>
      <c r="AJ14" s="9">
        <f t="shared" si="4"/>
        <v>1361546.21</v>
      </c>
      <c r="AK14" s="8"/>
      <c r="AL14" s="10"/>
      <c r="AM14" s="8"/>
      <c r="AN14" s="8">
        <v>324000</v>
      </c>
      <c r="AO14" s="8"/>
      <c r="AP14" s="8">
        <f t="shared" si="18"/>
        <v>324000</v>
      </c>
      <c r="AQ14" s="10"/>
      <c r="AR14" s="10"/>
      <c r="AS14" s="8">
        <v>294000</v>
      </c>
      <c r="AT14" s="8"/>
      <c r="AU14" s="8">
        <f t="shared" si="14"/>
        <v>294000</v>
      </c>
      <c r="AV14" s="9">
        <f t="shared" si="5"/>
        <v>618000</v>
      </c>
      <c r="AW14" s="10"/>
      <c r="AX14" s="10"/>
      <c r="AY14" s="10"/>
      <c r="AZ14" s="8">
        <v>291000</v>
      </c>
      <c r="BA14" s="8"/>
      <c r="BB14" s="8">
        <f t="shared" si="15"/>
        <v>291000</v>
      </c>
      <c r="BC14" s="10"/>
      <c r="BD14" s="10"/>
      <c r="BE14" s="8">
        <v>294000</v>
      </c>
      <c r="BF14" s="8"/>
      <c r="BG14" s="8">
        <f t="shared" si="16"/>
        <v>294000</v>
      </c>
      <c r="BH14" s="9">
        <f t="shared" si="6"/>
        <v>585000</v>
      </c>
      <c r="BI14" s="10"/>
      <c r="BJ14" s="10"/>
      <c r="BK14" s="10"/>
      <c r="BL14" s="8">
        <v>274000</v>
      </c>
      <c r="BM14" s="8"/>
      <c r="BN14" s="10"/>
      <c r="BO14" s="10"/>
      <c r="BP14" s="10"/>
      <c r="BQ14" s="8">
        <v>265000</v>
      </c>
      <c r="BR14" s="8"/>
      <c r="BS14" s="10"/>
      <c r="BT14" s="9">
        <f>M14+X14+AJ14+AV14+BH14+BL14+BQ14</f>
        <v>4042968.8499999996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37</v>
      </c>
      <c r="B15" s="5">
        <v>1043000</v>
      </c>
      <c r="C15" s="6"/>
      <c r="D15" s="7"/>
      <c r="E15" s="6">
        <v>91000</v>
      </c>
      <c r="F15" s="6">
        <v>13338.44</v>
      </c>
      <c r="G15" s="6">
        <f t="shared" si="7"/>
        <v>77661.56</v>
      </c>
      <c r="H15" s="6"/>
      <c r="I15" s="6"/>
      <c r="J15" s="6">
        <f>84000+G15-15000</f>
        <v>146661.56</v>
      </c>
      <c r="K15" s="6">
        <v>14304.73</v>
      </c>
      <c r="L15" s="6">
        <f t="shared" si="8"/>
        <v>132356.82999999999</v>
      </c>
      <c r="M15" s="7">
        <f t="shared" si="9"/>
        <v>27643.17</v>
      </c>
      <c r="N15" s="6"/>
      <c r="O15" s="13"/>
      <c r="P15" s="6">
        <f>82000+L15+786000-827707.55</f>
        <v>172649.27999999991</v>
      </c>
      <c r="Q15" s="6">
        <v>10560.88</v>
      </c>
      <c r="R15" s="6">
        <f t="shared" si="10"/>
        <v>162088.39999999991</v>
      </c>
      <c r="S15" s="12"/>
      <c r="T15" s="12"/>
      <c r="U15" s="6">
        <f>R15-104526.28</f>
        <v>57562.119999999908</v>
      </c>
      <c r="V15" s="6">
        <v>9851.89</v>
      </c>
      <c r="W15" s="6">
        <f t="shared" si="11"/>
        <v>47710.229999999909</v>
      </c>
      <c r="X15" s="9">
        <f t="shared" si="12"/>
        <v>20412.769999999997</v>
      </c>
      <c r="Y15" s="8">
        <f t="shared" si="0"/>
        <v>48055.939999999995</v>
      </c>
      <c r="Z15" s="8"/>
      <c r="AA15" s="8"/>
      <c r="AB15" s="8">
        <f>W15</f>
        <v>47710.229999999909</v>
      </c>
      <c r="AC15" s="8"/>
      <c r="AD15" s="8">
        <f t="shared" si="13"/>
        <v>47710.229999999909</v>
      </c>
      <c r="AE15" s="10"/>
      <c r="AF15" s="10"/>
      <c r="AG15" s="8">
        <v>0</v>
      </c>
      <c r="AH15" s="8"/>
      <c r="AI15" s="8">
        <f t="shared" si="3"/>
        <v>0</v>
      </c>
      <c r="AJ15" s="9">
        <f t="shared" si="4"/>
        <v>47710.229999999909</v>
      </c>
      <c r="AK15" s="8">
        <f t="shared" si="1"/>
        <v>95766.169999999896</v>
      </c>
      <c r="AL15" s="10"/>
      <c r="AM15" s="8"/>
      <c r="AN15" s="8">
        <v>0</v>
      </c>
      <c r="AO15" s="8"/>
      <c r="AP15" s="8">
        <f t="shared" si="18"/>
        <v>0</v>
      </c>
      <c r="AQ15" s="10"/>
      <c r="AR15" s="10"/>
      <c r="AS15" s="8">
        <v>0</v>
      </c>
      <c r="AT15" s="8"/>
      <c r="AU15" s="8">
        <f t="shared" si="14"/>
        <v>0</v>
      </c>
      <c r="AV15" s="9">
        <f t="shared" si="5"/>
        <v>0</v>
      </c>
      <c r="AW15" s="10">
        <f t="shared" si="2"/>
        <v>95766.169999999896</v>
      </c>
      <c r="AX15" s="10"/>
      <c r="AY15" s="10"/>
      <c r="AZ15" s="8">
        <v>0</v>
      </c>
      <c r="BA15" s="8"/>
      <c r="BB15" s="8">
        <f t="shared" si="15"/>
        <v>0</v>
      </c>
      <c r="BC15" s="10"/>
      <c r="BD15" s="10"/>
      <c r="BE15" s="8">
        <v>0</v>
      </c>
      <c r="BF15" s="8"/>
      <c r="BG15" s="8">
        <f t="shared" si="16"/>
        <v>0</v>
      </c>
      <c r="BH15" s="9">
        <f t="shared" si="6"/>
        <v>0</v>
      </c>
      <c r="BI15" s="10"/>
      <c r="BJ15" s="10"/>
      <c r="BK15" s="10"/>
      <c r="BL15" s="8">
        <v>0</v>
      </c>
      <c r="BM15" s="8"/>
      <c r="BN15" s="10"/>
      <c r="BO15" s="10"/>
      <c r="BP15" s="10"/>
      <c r="BQ15" s="8">
        <v>0</v>
      </c>
      <c r="BR15" s="8"/>
      <c r="BS15" s="10"/>
      <c r="BT15" s="9">
        <f t="shared" si="17"/>
        <v>95766.169999999896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39</v>
      </c>
      <c r="B16" s="5">
        <v>1730000</v>
      </c>
      <c r="C16" s="6"/>
      <c r="D16" s="7"/>
      <c r="E16" s="6">
        <f>115000+90000-570000+462000+184000+178000</f>
        <v>459000</v>
      </c>
      <c r="F16" s="6">
        <v>334231.2</v>
      </c>
      <c r="G16" s="6">
        <f t="shared" si="7"/>
        <v>124768.79999999999</v>
      </c>
      <c r="H16" s="6"/>
      <c r="I16" s="6"/>
      <c r="J16" s="6">
        <f>128000+G16+15000</f>
        <v>267768.8</v>
      </c>
      <c r="K16" s="6">
        <v>345473.9</v>
      </c>
      <c r="L16" s="6">
        <f t="shared" si="8"/>
        <v>-77705.100000000035</v>
      </c>
      <c r="M16" s="7">
        <f t="shared" si="9"/>
        <v>679705.10000000009</v>
      </c>
      <c r="N16" s="6"/>
      <c r="O16" s="13"/>
      <c r="P16" s="6">
        <f>102000+L16+561000-478924.97</f>
        <v>106369.92999999993</v>
      </c>
      <c r="Q16" s="6">
        <v>7154.19</v>
      </c>
      <c r="R16" s="6">
        <f t="shared" si="10"/>
        <v>99215.739999999932</v>
      </c>
      <c r="S16" s="12"/>
      <c r="T16" s="12"/>
      <c r="U16" s="6">
        <f>R16-94296.06</f>
        <v>4919.6799999999348</v>
      </c>
      <c r="V16" s="6">
        <v>80.569999999999993</v>
      </c>
      <c r="W16" s="6">
        <f t="shared" si="11"/>
        <v>4839.1099999999351</v>
      </c>
      <c r="X16" s="9">
        <f t="shared" si="12"/>
        <v>7234.7599999999993</v>
      </c>
      <c r="Y16" s="8">
        <f t="shared" si="0"/>
        <v>686939.8600000001</v>
      </c>
      <c r="Z16" s="8"/>
      <c r="AA16" s="8"/>
      <c r="AB16" s="8">
        <f>W16</f>
        <v>4839.1099999999351</v>
      </c>
      <c r="AC16" s="8"/>
      <c r="AD16" s="8">
        <f t="shared" si="13"/>
        <v>4839.1099999999351</v>
      </c>
      <c r="AE16" s="10"/>
      <c r="AF16" s="10"/>
      <c r="AG16" s="8">
        <v>0</v>
      </c>
      <c r="AH16" s="8"/>
      <c r="AI16" s="8">
        <f t="shared" si="3"/>
        <v>0</v>
      </c>
      <c r="AJ16" s="9">
        <f t="shared" si="4"/>
        <v>4839.1099999999351</v>
      </c>
      <c r="AK16" s="8">
        <f t="shared" si="1"/>
        <v>691778.97000000009</v>
      </c>
      <c r="AL16" s="10"/>
      <c r="AM16" s="8"/>
      <c r="AN16" s="8">
        <v>0</v>
      </c>
      <c r="AO16" s="8"/>
      <c r="AP16" s="8">
        <f t="shared" si="18"/>
        <v>0</v>
      </c>
      <c r="AQ16" s="10"/>
      <c r="AR16" s="10"/>
      <c r="AS16" s="8">
        <v>0</v>
      </c>
      <c r="AT16" s="8"/>
      <c r="AU16" s="8">
        <f t="shared" si="14"/>
        <v>0</v>
      </c>
      <c r="AV16" s="9">
        <f t="shared" si="5"/>
        <v>0</v>
      </c>
      <c r="AW16" s="10">
        <f t="shared" si="2"/>
        <v>691778.97000000009</v>
      </c>
      <c r="AX16" s="10"/>
      <c r="AY16" s="10"/>
      <c r="AZ16" s="8">
        <v>0</v>
      </c>
      <c r="BA16" s="8"/>
      <c r="BB16" s="8">
        <f t="shared" si="15"/>
        <v>0</v>
      </c>
      <c r="BC16" s="10"/>
      <c r="BD16" s="10"/>
      <c r="BE16" s="8">
        <v>0</v>
      </c>
      <c r="BF16" s="8"/>
      <c r="BG16" s="8">
        <f t="shared" si="16"/>
        <v>0</v>
      </c>
      <c r="BH16" s="9">
        <f t="shared" si="6"/>
        <v>0</v>
      </c>
      <c r="BI16" s="10"/>
      <c r="BJ16" s="10"/>
      <c r="BK16" s="10"/>
      <c r="BL16" s="8">
        <v>0</v>
      </c>
      <c r="BM16" s="8"/>
      <c r="BN16" s="10"/>
      <c r="BO16" s="10"/>
      <c r="BP16" s="10"/>
      <c r="BQ16" s="8">
        <v>0</v>
      </c>
      <c r="BR16" s="8"/>
      <c r="BS16" s="10"/>
      <c r="BT16" s="9">
        <f t="shared" si="17"/>
        <v>691778.97000000009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40</v>
      </c>
      <c r="B17" s="5">
        <v>38006000</v>
      </c>
      <c r="C17" s="6"/>
      <c r="D17" s="7"/>
      <c r="E17" s="6">
        <f>1230000+1566500-1356000+300000</f>
        <v>1740500</v>
      </c>
      <c r="F17" s="6">
        <v>1679149.92</v>
      </c>
      <c r="G17" s="6">
        <f t="shared" si="7"/>
        <v>61350.080000000075</v>
      </c>
      <c r="H17" s="6"/>
      <c r="I17" s="6"/>
      <c r="J17" s="6">
        <f>3730000-300000+G17+474000</f>
        <v>3965350.08</v>
      </c>
      <c r="K17" s="6">
        <v>1754358.66</v>
      </c>
      <c r="L17" s="6">
        <f t="shared" si="8"/>
        <v>2210991.42</v>
      </c>
      <c r="M17" s="7">
        <f t="shared" si="9"/>
        <v>3433508.58</v>
      </c>
      <c r="N17" s="6"/>
      <c r="O17" s="13"/>
      <c r="P17" s="6">
        <f>3260000+L17+200000</f>
        <v>5670991.4199999999</v>
      </c>
      <c r="Q17" s="6">
        <v>2340223.31</v>
      </c>
      <c r="R17" s="6">
        <f t="shared" si="10"/>
        <v>3330768.11</v>
      </c>
      <c r="S17" s="12"/>
      <c r="T17" s="12"/>
      <c r="U17" s="6">
        <f>3715000+R17+1026125.41</f>
        <v>8071893.5199999996</v>
      </c>
      <c r="V17" s="6">
        <v>4323463.55</v>
      </c>
      <c r="W17" s="6">
        <f t="shared" si="11"/>
        <v>3748429.9699999997</v>
      </c>
      <c r="X17" s="9">
        <f t="shared" si="12"/>
        <v>6663686.8599999994</v>
      </c>
      <c r="Y17" s="8"/>
      <c r="Z17" s="8"/>
      <c r="AA17" s="8"/>
      <c r="AB17" s="8">
        <f>2230000+W17</f>
        <v>5978429.9699999997</v>
      </c>
      <c r="AC17" s="8"/>
      <c r="AD17" s="8">
        <f t="shared" si="13"/>
        <v>5978429.9699999997</v>
      </c>
      <c r="AE17" s="10"/>
      <c r="AF17" s="10"/>
      <c r="AG17" s="8">
        <v>3120000</v>
      </c>
      <c r="AH17" s="8"/>
      <c r="AI17" s="8">
        <f t="shared" si="3"/>
        <v>3120000</v>
      </c>
      <c r="AJ17" s="9">
        <f t="shared" si="4"/>
        <v>9098429.9699999988</v>
      </c>
      <c r="AK17" s="8"/>
      <c r="AL17" s="10"/>
      <c r="AM17" s="8"/>
      <c r="AN17" s="8">
        <v>3212000</v>
      </c>
      <c r="AO17" s="8"/>
      <c r="AP17" s="8">
        <f t="shared" si="18"/>
        <v>3212000</v>
      </c>
      <c r="AQ17" s="10"/>
      <c r="AR17" s="10"/>
      <c r="AS17" s="8">
        <v>2807000</v>
      </c>
      <c r="AT17" s="8"/>
      <c r="AU17" s="8">
        <f t="shared" si="14"/>
        <v>2807000</v>
      </c>
      <c r="AV17" s="9">
        <f t="shared" si="5"/>
        <v>6019000</v>
      </c>
      <c r="AW17" s="10"/>
      <c r="AX17" s="10"/>
      <c r="AY17" s="10"/>
      <c r="AZ17" s="8">
        <v>3205000</v>
      </c>
      <c r="BA17" s="8"/>
      <c r="BB17" s="8">
        <f>AZ17-BA17</f>
        <v>3205000</v>
      </c>
      <c r="BC17" s="10"/>
      <c r="BD17" s="10"/>
      <c r="BE17" s="8">
        <v>2650000</v>
      </c>
      <c r="BF17" s="8"/>
      <c r="BG17" s="8">
        <f t="shared" si="16"/>
        <v>2650000</v>
      </c>
      <c r="BH17" s="9">
        <f t="shared" si="6"/>
        <v>5855000</v>
      </c>
      <c r="BI17" s="10"/>
      <c r="BJ17" s="10"/>
      <c r="BK17" s="10"/>
      <c r="BL17" s="8">
        <v>3800000</v>
      </c>
      <c r="BM17" s="8"/>
      <c r="BN17" s="10"/>
      <c r="BO17" s="10"/>
      <c r="BP17" s="10"/>
      <c r="BQ17" s="8">
        <v>5047000</v>
      </c>
      <c r="BR17" s="8"/>
      <c r="BS17" s="10"/>
      <c r="BT17" s="9">
        <f t="shared" si="17"/>
        <v>39916625.409999996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46</v>
      </c>
      <c r="B18" s="5">
        <v>15009700</v>
      </c>
      <c r="C18" s="6"/>
      <c r="D18" s="7"/>
      <c r="E18" s="6">
        <f>1230000+740600</f>
        <v>1970600</v>
      </c>
      <c r="F18" s="6">
        <v>1219530.69</v>
      </c>
      <c r="G18" s="6">
        <f t="shared" si="7"/>
        <v>751069.31</v>
      </c>
      <c r="H18" s="6"/>
      <c r="I18" s="6"/>
      <c r="J18" s="6">
        <f>1180000+G18+51000</f>
        <v>1982069.31</v>
      </c>
      <c r="K18" s="6">
        <v>1267009.78</v>
      </c>
      <c r="L18" s="6">
        <f t="shared" si="8"/>
        <v>715059.53</v>
      </c>
      <c r="M18" s="7">
        <f t="shared" si="9"/>
        <v>2486540.4699999997</v>
      </c>
      <c r="N18" s="6"/>
      <c r="O18" s="13"/>
      <c r="P18" s="6">
        <f>1230000+L18+139000</f>
        <v>2084059.53</v>
      </c>
      <c r="Q18" s="6">
        <v>1300576.47</v>
      </c>
      <c r="R18" s="6">
        <f t="shared" si="10"/>
        <v>783483.06</v>
      </c>
      <c r="S18" s="12"/>
      <c r="T18" s="12"/>
      <c r="U18" s="6">
        <f>1230000+R18+1100819.94</f>
        <v>3114303</v>
      </c>
      <c r="V18" s="6">
        <v>1274187.8700000001</v>
      </c>
      <c r="W18" s="6">
        <f t="shared" si="11"/>
        <v>1840115.13</v>
      </c>
      <c r="X18" s="9">
        <f t="shared" si="12"/>
        <v>2574764.34</v>
      </c>
      <c r="Y18" s="8">
        <f t="shared" si="0"/>
        <v>5061304.8099999996</v>
      </c>
      <c r="Z18" s="8"/>
      <c r="AA18" s="8"/>
      <c r="AB18" s="8">
        <f>1315000+W18</f>
        <v>3155115.13</v>
      </c>
      <c r="AC18" s="8"/>
      <c r="AD18" s="8">
        <f t="shared" si="13"/>
        <v>3155115.13</v>
      </c>
      <c r="AE18" s="10"/>
      <c r="AF18" s="10"/>
      <c r="AG18" s="8">
        <v>1168000</v>
      </c>
      <c r="AH18" s="8"/>
      <c r="AI18" s="8">
        <f t="shared" si="3"/>
        <v>1168000</v>
      </c>
      <c r="AJ18" s="9">
        <f t="shared" si="4"/>
        <v>4323115.13</v>
      </c>
      <c r="AK18" s="8">
        <f t="shared" si="1"/>
        <v>9384419.9399999995</v>
      </c>
      <c r="AL18" s="10"/>
      <c r="AM18" s="8"/>
      <c r="AN18" s="8">
        <v>1530000</v>
      </c>
      <c r="AO18" s="8"/>
      <c r="AP18" s="8">
        <f t="shared" si="18"/>
        <v>1530000</v>
      </c>
      <c r="AQ18" s="10"/>
      <c r="AR18" s="10"/>
      <c r="AS18" s="8">
        <v>164000</v>
      </c>
      <c r="AT18" s="8"/>
      <c r="AU18" s="8">
        <f t="shared" si="14"/>
        <v>164000</v>
      </c>
      <c r="AV18" s="9">
        <f t="shared" si="5"/>
        <v>1694000</v>
      </c>
      <c r="AW18" s="10">
        <f t="shared" si="2"/>
        <v>11078419.939999999</v>
      </c>
      <c r="AX18" s="10"/>
      <c r="AY18" s="10"/>
      <c r="AZ18" s="8">
        <v>1348000</v>
      </c>
      <c r="BA18" s="8"/>
      <c r="BB18" s="8">
        <f t="shared" si="15"/>
        <v>1348000</v>
      </c>
      <c r="BC18" s="10"/>
      <c r="BD18" s="10"/>
      <c r="BE18" s="8">
        <v>1245000</v>
      </c>
      <c r="BF18" s="8"/>
      <c r="BG18" s="8">
        <f t="shared" si="16"/>
        <v>1245000</v>
      </c>
      <c r="BH18" s="9">
        <f t="shared" si="6"/>
        <v>2593000</v>
      </c>
      <c r="BI18" s="10"/>
      <c r="BJ18" s="10"/>
      <c r="BK18" s="10"/>
      <c r="BL18" s="8">
        <v>1345000</v>
      </c>
      <c r="BM18" s="8"/>
      <c r="BN18" s="10"/>
      <c r="BO18" s="10"/>
      <c r="BP18" s="10"/>
      <c r="BQ18" s="8">
        <v>2024700</v>
      </c>
      <c r="BR18" s="8"/>
      <c r="BS18" s="10"/>
      <c r="BT18" s="9">
        <f t="shared" si="17"/>
        <v>17041119.939999998</v>
      </c>
      <c r="BU18" s="9">
        <f>F18+K18+Q18+V18+AC18+AH18+AO18+AT18+BA18+BF18+BM18+BR18</f>
        <v>5061304.8099999996</v>
      </c>
      <c r="BV18" s="11">
        <f>BT18-BU18</f>
        <v>11979815.129999999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47</v>
      </c>
      <c r="B19" s="5">
        <v>47000000</v>
      </c>
      <c r="C19" s="6"/>
      <c r="D19" s="7"/>
      <c r="E19" s="6">
        <f>5368000+470950</f>
        <v>5838950</v>
      </c>
      <c r="F19" s="6">
        <v>185427.51</v>
      </c>
      <c r="G19" s="6">
        <f t="shared" si="7"/>
        <v>5653522.4900000002</v>
      </c>
      <c r="H19" s="6"/>
      <c r="I19" s="6"/>
      <c r="J19" s="6">
        <f>4315000+G19-5000</f>
        <v>9963522.4900000002</v>
      </c>
      <c r="K19" s="6">
        <v>117454.13</v>
      </c>
      <c r="L19" s="6">
        <f t="shared" si="8"/>
        <v>9846068.3599999994</v>
      </c>
      <c r="M19" s="7">
        <f t="shared" si="9"/>
        <v>302881.64</v>
      </c>
      <c r="N19" s="6"/>
      <c r="O19" s="13"/>
      <c r="P19" s="6">
        <f>4348000+L19+32969000-42749226.1</f>
        <v>4413842.2599999979</v>
      </c>
      <c r="Q19" s="6">
        <v>24353.53</v>
      </c>
      <c r="R19" s="6">
        <f t="shared" si="10"/>
        <v>4389488.7299999977</v>
      </c>
      <c r="S19" s="6"/>
      <c r="T19" s="12"/>
      <c r="U19" s="6">
        <f>R19-339964.79</f>
        <v>4049523.9399999976</v>
      </c>
      <c r="V19" s="6">
        <v>144182.95000000001</v>
      </c>
      <c r="W19" s="6">
        <f t="shared" si="11"/>
        <v>3905340.9899999974</v>
      </c>
      <c r="X19" s="9">
        <f t="shared" si="12"/>
        <v>168536.48</v>
      </c>
      <c r="Y19" s="8">
        <f t="shared" si="0"/>
        <v>471418.12</v>
      </c>
      <c r="Z19" s="8"/>
      <c r="AA19" s="8"/>
      <c r="AB19" s="8">
        <f>W19</f>
        <v>3905340.9899999974</v>
      </c>
      <c r="AC19" s="8"/>
      <c r="AD19" s="8">
        <f t="shared" si="13"/>
        <v>3905340.9899999974</v>
      </c>
      <c r="AE19" s="8"/>
      <c r="AF19" s="10"/>
      <c r="AG19" s="8">
        <v>0</v>
      </c>
      <c r="AH19" s="8"/>
      <c r="AI19" s="8">
        <f t="shared" si="3"/>
        <v>0</v>
      </c>
      <c r="AJ19" s="9">
        <f t="shared" si="4"/>
        <v>3905340.9899999974</v>
      </c>
      <c r="AK19" s="8">
        <f t="shared" si="1"/>
        <v>4376759.1099999975</v>
      </c>
      <c r="AL19" s="8"/>
      <c r="AM19" s="8"/>
      <c r="AN19" s="8">
        <v>0</v>
      </c>
      <c r="AO19" s="8"/>
      <c r="AP19" s="8">
        <f t="shared" si="18"/>
        <v>0</v>
      </c>
      <c r="AQ19" s="8"/>
      <c r="AR19" s="8"/>
      <c r="AS19" s="8">
        <v>0</v>
      </c>
      <c r="AT19" s="8"/>
      <c r="AU19" s="8">
        <f t="shared" si="14"/>
        <v>0</v>
      </c>
      <c r="AV19" s="9">
        <f t="shared" si="5"/>
        <v>0</v>
      </c>
      <c r="AW19" s="10">
        <f t="shared" si="2"/>
        <v>4376759.1099999975</v>
      </c>
      <c r="AX19" s="8"/>
      <c r="AY19" s="8"/>
      <c r="AZ19" s="8">
        <v>0</v>
      </c>
      <c r="BA19" s="8"/>
      <c r="BB19" s="8">
        <f t="shared" si="15"/>
        <v>0</v>
      </c>
      <c r="BC19" s="8"/>
      <c r="BD19" s="8"/>
      <c r="BE19" s="8">
        <v>0</v>
      </c>
      <c r="BF19" s="8"/>
      <c r="BG19" s="8">
        <f t="shared" si="16"/>
        <v>0</v>
      </c>
      <c r="BH19" s="9">
        <f t="shared" si="6"/>
        <v>0</v>
      </c>
      <c r="BI19" s="10"/>
      <c r="BJ19" s="8"/>
      <c r="BK19" s="8"/>
      <c r="BL19" s="8">
        <v>0</v>
      </c>
      <c r="BM19" s="8"/>
      <c r="BN19" s="8"/>
      <c r="BO19" s="8"/>
      <c r="BP19" s="8"/>
      <c r="BQ19" s="8">
        <v>0</v>
      </c>
      <c r="BR19" s="8"/>
      <c r="BS19" s="10"/>
      <c r="BT19" s="9">
        <f t="shared" si="17"/>
        <v>4376759.1099999975</v>
      </c>
      <c r="BU19" s="9">
        <f>F19+K19+Q19+V19+AC19+AH19+AO19+AT19+BA19+BF19+BM19+BR19</f>
        <v>471418.12000000005</v>
      </c>
      <c r="BV19" s="11">
        <f>BT19-BU19</f>
        <v>3905340.9899999974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48</v>
      </c>
      <c r="B20" s="5">
        <v>11205000</v>
      </c>
      <c r="C20" s="6"/>
      <c r="D20" s="7"/>
      <c r="E20" s="6">
        <f>634000+647199.23-351990</f>
        <v>929209.23</v>
      </c>
      <c r="F20" s="6">
        <v>679256.58</v>
      </c>
      <c r="G20" s="6">
        <f t="shared" si="7"/>
        <v>249952.65000000002</v>
      </c>
      <c r="H20" s="6"/>
      <c r="I20" s="6"/>
      <c r="J20" s="6">
        <f>898000+G20+200099.32</f>
        <v>1348051.97</v>
      </c>
      <c r="K20" s="6">
        <v>644609.16</v>
      </c>
      <c r="L20" s="6">
        <f t="shared" si="8"/>
        <v>703442.80999999994</v>
      </c>
      <c r="M20" s="7">
        <f t="shared" si="9"/>
        <v>1323865.74</v>
      </c>
      <c r="N20" s="6"/>
      <c r="O20" s="13"/>
      <c r="P20" s="6">
        <f>876000+L20+293450.8</f>
        <v>1872893.61</v>
      </c>
      <c r="Q20" s="6">
        <v>570749.28</v>
      </c>
      <c r="R20" s="6">
        <f t="shared" si="10"/>
        <v>1302144.33</v>
      </c>
      <c r="S20" s="6"/>
      <c r="T20" s="12"/>
      <c r="U20" s="6">
        <f>828000+R20+90500</f>
        <v>2220644.33</v>
      </c>
      <c r="V20" s="6">
        <v>657303.37</v>
      </c>
      <c r="W20" s="6">
        <f t="shared" si="11"/>
        <v>1563340.96</v>
      </c>
      <c r="X20" s="9">
        <f t="shared" si="12"/>
        <v>1228052.6499999999</v>
      </c>
      <c r="Y20" s="8">
        <f t="shared" si="0"/>
        <v>2551918.3899999997</v>
      </c>
      <c r="Z20" s="8"/>
      <c r="AA20" s="8"/>
      <c r="AB20" s="8">
        <f>720000+W20</f>
        <v>2283340.96</v>
      </c>
      <c r="AC20" s="8"/>
      <c r="AD20" s="8">
        <f t="shared" si="13"/>
        <v>2283340.96</v>
      </c>
      <c r="AE20" s="8"/>
      <c r="AF20" s="10"/>
      <c r="AG20" s="8">
        <v>762000</v>
      </c>
      <c r="AH20" s="8"/>
      <c r="AI20" s="8">
        <f t="shared" si="3"/>
        <v>762000</v>
      </c>
      <c r="AJ20" s="9">
        <f t="shared" si="4"/>
        <v>3045340.96</v>
      </c>
      <c r="AK20" s="8">
        <f t="shared" si="1"/>
        <v>5597259.3499999996</v>
      </c>
      <c r="AL20" s="8"/>
      <c r="AM20" s="8"/>
      <c r="AN20" s="8">
        <v>918000</v>
      </c>
      <c r="AO20" s="8"/>
      <c r="AP20" s="8">
        <f t="shared" si="18"/>
        <v>918000</v>
      </c>
      <c r="AQ20" s="8"/>
      <c r="AR20" s="10"/>
      <c r="AS20" s="8">
        <v>807000</v>
      </c>
      <c r="AT20" s="8"/>
      <c r="AU20" s="8">
        <f t="shared" si="14"/>
        <v>807000</v>
      </c>
      <c r="AV20" s="9">
        <f t="shared" si="5"/>
        <v>1725000</v>
      </c>
      <c r="AW20" s="10">
        <f t="shared" si="2"/>
        <v>7322259.3499999996</v>
      </c>
      <c r="AX20" s="8"/>
      <c r="AY20" s="10"/>
      <c r="AZ20" s="8">
        <v>1485000</v>
      </c>
      <c r="BA20" s="8"/>
      <c r="BB20" s="8">
        <f t="shared" si="15"/>
        <v>1485000</v>
      </c>
      <c r="BC20" s="8"/>
      <c r="BD20" s="10"/>
      <c r="BE20" s="8">
        <v>1145000</v>
      </c>
      <c r="BF20" s="8"/>
      <c r="BG20" s="8">
        <f t="shared" si="16"/>
        <v>1145000</v>
      </c>
      <c r="BH20" s="9">
        <f t="shared" si="6"/>
        <v>2630000</v>
      </c>
      <c r="BI20" s="10"/>
      <c r="BJ20" s="8"/>
      <c r="BK20" s="10"/>
      <c r="BL20" s="8">
        <v>815000</v>
      </c>
      <c r="BM20" s="8"/>
      <c r="BN20" s="10"/>
      <c r="BO20" s="8"/>
      <c r="BP20" s="10"/>
      <c r="BQ20" s="8">
        <v>1317000</v>
      </c>
      <c r="BR20" s="8"/>
      <c r="BS20" s="10"/>
      <c r="BT20" s="9">
        <f t="shared" si="17"/>
        <v>12084259.35</v>
      </c>
      <c r="BU20" s="9">
        <f>F20+K20+Q20+V20+AC20+AH20+AO20+AT20+BA20+BF20+BM20+BR20</f>
        <v>2551918.39</v>
      </c>
      <c r="BV20" s="11">
        <f>BT20-BU20</f>
        <v>9532340.959999999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49</v>
      </c>
      <c r="B21" s="5">
        <v>14623000</v>
      </c>
      <c r="C21" s="6" t="s">
        <v>27</v>
      </c>
      <c r="D21" s="7"/>
      <c r="E21" s="6">
        <f>1898000+18000-150000</f>
        <v>1766000</v>
      </c>
      <c r="F21" s="6">
        <v>1117628.52</v>
      </c>
      <c r="G21" s="6">
        <f t="shared" si="7"/>
        <v>648371.48</v>
      </c>
      <c r="H21" s="6" t="str">
        <f>C21</f>
        <v xml:space="preserve"> </v>
      </c>
      <c r="I21" s="6"/>
      <c r="J21" s="6">
        <f>1530000+G21+121100</f>
        <v>2299471.48</v>
      </c>
      <c r="K21" s="6">
        <v>2223814.87</v>
      </c>
      <c r="L21" s="6">
        <f t="shared" si="8"/>
        <v>75656.60999999987</v>
      </c>
      <c r="M21" s="7">
        <f t="shared" si="9"/>
        <v>3341443.39</v>
      </c>
      <c r="N21" s="6"/>
      <c r="O21" s="7"/>
      <c r="P21" s="6">
        <f>1180000+L21+4034171.54</f>
        <v>5289828.1500000004</v>
      </c>
      <c r="Q21" s="6">
        <v>1662108.61</v>
      </c>
      <c r="R21" s="6">
        <f t="shared" si="10"/>
        <v>3627719.54</v>
      </c>
      <c r="S21" s="6"/>
      <c r="T21" s="6"/>
      <c r="U21" s="6">
        <f>1194000+R21+942000</f>
        <v>5763719.54</v>
      </c>
      <c r="V21" s="6">
        <v>1209550.8600000001</v>
      </c>
      <c r="W21" s="6">
        <f t="shared" si="11"/>
        <v>4554168.68</v>
      </c>
      <c r="X21" s="9">
        <f t="shared" si="12"/>
        <v>2871659.47</v>
      </c>
      <c r="Y21" s="8">
        <f t="shared" si="0"/>
        <v>6213102.8600000003</v>
      </c>
      <c r="Z21" s="8"/>
      <c r="AA21" s="8"/>
      <c r="AB21" s="8">
        <f>1130000+W21</f>
        <v>5684168.6799999997</v>
      </c>
      <c r="AC21" s="8"/>
      <c r="AD21" s="8">
        <f t="shared" si="13"/>
        <v>5684168.6799999997</v>
      </c>
      <c r="AE21" s="8"/>
      <c r="AF21" s="8"/>
      <c r="AG21" s="8">
        <v>1132000</v>
      </c>
      <c r="AH21" s="8"/>
      <c r="AI21" s="8">
        <f t="shared" si="3"/>
        <v>1132000</v>
      </c>
      <c r="AJ21" s="9">
        <f t="shared" si="4"/>
        <v>6816168.6799999997</v>
      </c>
      <c r="AK21" s="8">
        <f t="shared" si="1"/>
        <v>13029271.539999999</v>
      </c>
      <c r="AL21" s="8"/>
      <c r="AM21" s="8"/>
      <c r="AN21" s="8">
        <v>1157000</v>
      </c>
      <c r="AO21" s="8"/>
      <c r="AP21" s="8">
        <f t="shared" si="18"/>
        <v>1157000</v>
      </c>
      <c r="AQ21" s="8"/>
      <c r="AR21" s="8"/>
      <c r="AS21" s="8">
        <v>1115000</v>
      </c>
      <c r="AT21" s="8"/>
      <c r="AU21" s="8">
        <f t="shared" si="14"/>
        <v>1115000</v>
      </c>
      <c r="AV21" s="9">
        <f t="shared" si="5"/>
        <v>2272000</v>
      </c>
      <c r="AW21" s="10">
        <f t="shared" si="2"/>
        <v>15301271.539999999</v>
      </c>
      <c r="AX21" s="8"/>
      <c r="AY21" s="8"/>
      <c r="AZ21" s="8">
        <v>1158000</v>
      </c>
      <c r="BA21" s="8"/>
      <c r="BB21" s="8">
        <f t="shared" si="15"/>
        <v>1158000</v>
      </c>
      <c r="BC21" s="8"/>
      <c r="BD21" s="8"/>
      <c r="BE21" s="8">
        <v>1180000</v>
      </c>
      <c r="BF21" s="8"/>
      <c r="BG21" s="8">
        <f t="shared" si="16"/>
        <v>1180000</v>
      </c>
      <c r="BH21" s="9">
        <f t="shared" si="6"/>
        <v>2338000</v>
      </c>
      <c r="BI21" s="10"/>
      <c r="BJ21" s="8"/>
      <c r="BK21" s="8"/>
      <c r="BL21" s="8">
        <v>1045000</v>
      </c>
      <c r="BM21" s="8"/>
      <c r="BN21" s="8"/>
      <c r="BO21" s="8"/>
      <c r="BP21" s="8"/>
      <c r="BQ21" s="8">
        <v>904000</v>
      </c>
      <c r="BR21" s="8"/>
      <c r="BS21" s="8"/>
      <c r="BT21" s="9">
        <f t="shared" si="17"/>
        <v>19588271.539999999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50</v>
      </c>
      <c r="B22" s="5">
        <v>1010000</v>
      </c>
      <c r="C22" s="6"/>
      <c r="D22" s="7"/>
      <c r="E22" s="6">
        <f>84000-46000</f>
        <v>38000</v>
      </c>
      <c r="F22" s="6">
        <v>37163.589999999997</v>
      </c>
      <c r="G22" s="6">
        <f t="shared" si="7"/>
        <v>836.41000000000349</v>
      </c>
      <c r="H22" s="6"/>
      <c r="I22" s="6"/>
      <c r="J22" s="6">
        <f>89000+G22-158200+187000</f>
        <v>118636.41</v>
      </c>
      <c r="K22" s="6">
        <v>1625.87</v>
      </c>
      <c r="L22" s="6">
        <f t="shared" si="8"/>
        <v>117010.54000000001</v>
      </c>
      <c r="M22" s="7">
        <f t="shared" si="9"/>
        <v>38789.46</v>
      </c>
      <c r="N22" s="6"/>
      <c r="O22" s="13"/>
      <c r="P22" s="6">
        <f>92000+L22+558000-750239.93</f>
        <v>16770.609999999986</v>
      </c>
      <c r="Q22" s="6">
        <v>163.46</v>
      </c>
      <c r="R22" s="6">
        <f t="shared" si="10"/>
        <v>16607.149999999987</v>
      </c>
      <c r="S22" s="12"/>
      <c r="T22" s="12"/>
      <c r="U22" s="6">
        <f>R22</f>
        <v>16607.149999999987</v>
      </c>
      <c r="V22" s="6">
        <v>768.87</v>
      </c>
      <c r="W22" s="6">
        <f t="shared" si="11"/>
        <v>15838.279999999986</v>
      </c>
      <c r="X22" s="9">
        <f t="shared" si="12"/>
        <v>932.33</v>
      </c>
      <c r="Y22" s="8">
        <f t="shared" si="0"/>
        <v>39721.79</v>
      </c>
      <c r="Z22" s="8"/>
      <c r="AA22" s="8"/>
      <c r="AB22" s="8">
        <f>W22</f>
        <v>15838.279999999986</v>
      </c>
      <c r="AC22" s="8"/>
      <c r="AD22" s="8">
        <f t="shared" si="13"/>
        <v>15838.279999999986</v>
      </c>
      <c r="AE22" s="10"/>
      <c r="AF22" s="10"/>
      <c r="AG22" s="8">
        <v>0</v>
      </c>
      <c r="AH22" s="8"/>
      <c r="AI22" s="8">
        <f t="shared" si="3"/>
        <v>0</v>
      </c>
      <c r="AJ22" s="9">
        <f t="shared" si="4"/>
        <v>15838.279999999986</v>
      </c>
      <c r="AK22" s="8">
        <f t="shared" si="1"/>
        <v>55560.069999999985</v>
      </c>
      <c r="AL22" s="10"/>
      <c r="AM22" s="8"/>
      <c r="AN22" s="8">
        <v>0</v>
      </c>
      <c r="AO22" s="8"/>
      <c r="AP22" s="8">
        <f t="shared" si="18"/>
        <v>0</v>
      </c>
      <c r="AQ22" s="10"/>
      <c r="AR22" s="10"/>
      <c r="AS22" s="8">
        <v>0</v>
      </c>
      <c r="AT22" s="8"/>
      <c r="AU22" s="8">
        <f t="shared" si="14"/>
        <v>0</v>
      </c>
      <c r="AV22" s="9">
        <f t="shared" si="5"/>
        <v>0</v>
      </c>
      <c r="AW22" s="10">
        <f t="shared" si="2"/>
        <v>55560.069999999985</v>
      </c>
      <c r="AX22" s="10"/>
      <c r="AY22" s="10"/>
      <c r="AZ22" s="8">
        <v>0</v>
      </c>
      <c r="BA22" s="8"/>
      <c r="BB22" s="8">
        <f t="shared" si="15"/>
        <v>0</v>
      </c>
      <c r="BC22" s="10"/>
      <c r="BD22" s="10"/>
      <c r="BE22" s="8">
        <v>0</v>
      </c>
      <c r="BF22" s="8"/>
      <c r="BG22" s="8">
        <f t="shared" si="16"/>
        <v>0</v>
      </c>
      <c r="BH22" s="9">
        <f t="shared" si="6"/>
        <v>0</v>
      </c>
      <c r="BI22" s="10"/>
      <c r="BJ22" s="10"/>
      <c r="BK22" s="10"/>
      <c r="BL22" s="8">
        <v>0</v>
      </c>
      <c r="BM22" s="8"/>
      <c r="BN22" s="10"/>
      <c r="BO22" s="10"/>
      <c r="BP22" s="10"/>
      <c r="BQ22" s="8">
        <v>0</v>
      </c>
      <c r="BR22" s="8"/>
      <c r="BS22" s="10"/>
      <c r="BT22" s="9">
        <f t="shared" si="17"/>
        <v>55560.069999999985</v>
      </c>
      <c r="BU22" s="9">
        <f>F22+K22+Q22+V22+AC22+AH22+AO22+AT22+BA22+BF22+BM22+BR22</f>
        <v>39721.79</v>
      </c>
      <c r="BV22" s="11">
        <f>BT22-BU22</f>
        <v>15838.279999999984</v>
      </c>
      <c r="IM22" s="3"/>
      <c r="IN22" s="3"/>
      <c r="IO22" s="3"/>
      <c r="IP22" s="3"/>
      <c r="IQ22" s="3"/>
      <c r="IR22" s="3"/>
      <c r="IS22" s="3"/>
      <c r="IT22" s="3"/>
    </row>
    <row r="23" spans="1:254" s="2" customFormat="1" ht="12.75" customHeight="1" x14ac:dyDescent="0.2">
      <c r="A23" s="5" t="s">
        <v>51</v>
      </c>
      <c r="B23" s="5">
        <v>8938700</v>
      </c>
      <c r="C23" s="6"/>
      <c r="D23" s="7"/>
      <c r="E23" s="6">
        <v>745000</v>
      </c>
      <c r="F23" s="6">
        <v>444026.55</v>
      </c>
      <c r="G23" s="6">
        <f t="shared" si="7"/>
        <v>300973.45</v>
      </c>
      <c r="H23" s="6"/>
      <c r="I23" s="6"/>
      <c r="J23" s="6">
        <f>798000+G23</f>
        <v>1098973.45</v>
      </c>
      <c r="K23" s="6">
        <v>404497.09</v>
      </c>
      <c r="L23" s="6">
        <f t="shared" si="8"/>
        <v>694476.35999999987</v>
      </c>
      <c r="M23" s="7">
        <f t="shared" si="9"/>
        <v>848523.64</v>
      </c>
      <c r="N23" s="13"/>
      <c r="O23" s="13"/>
      <c r="P23" s="6">
        <f>734000+L23+6661700-7631061.08</f>
        <v>459115.27999999933</v>
      </c>
      <c r="Q23" s="6">
        <v>4867.0600000000004</v>
      </c>
      <c r="R23" s="6">
        <f t="shared" si="10"/>
        <v>454248.21999999933</v>
      </c>
      <c r="S23" s="12"/>
      <c r="T23" s="12"/>
      <c r="U23" s="6">
        <f>R23-408091.41</f>
        <v>46156.809999999357</v>
      </c>
      <c r="V23" s="6">
        <v>4626.8999999999996</v>
      </c>
      <c r="W23" s="6">
        <f t="shared" si="11"/>
        <v>41529.909999999356</v>
      </c>
      <c r="X23" s="9">
        <f t="shared" si="12"/>
        <v>9493.9599999999991</v>
      </c>
      <c r="Y23" s="8">
        <f t="shared" si="0"/>
        <v>858017.6</v>
      </c>
      <c r="Z23" s="8"/>
      <c r="AA23" s="8"/>
      <c r="AB23" s="8">
        <f>W23</f>
        <v>41529.909999999356</v>
      </c>
      <c r="AC23" s="8"/>
      <c r="AD23" s="8">
        <f t="shared" si="13"/>
        <v>41529.909999999356</v>
      </c>
      <c r="AE23" s="10"/>
      <c r="AF23" s="10"/>
      <c r="AG23" s="8">
        <v>0</v>
      </c>
      <c r="AH23" s="8"/>
      <c r="AI23" s="8">
        <f t="shared" si="3"/>
        <v>0</v>
      </c>
      <c r="AJ23" s="9">
        <f t="shared" si="4"/>
        <v>41529.909999999356</v>
      </c>
      <c r="AK23" s="8">
        <f t="shared" si="1"/>
        <v>899547.50999999931</v>
      </c>
      <c r="AL23" s="10"/>
      <c r="AM23" s="8"/>
      <c r="AN23" s="8">
        <v>0</v>
      </c>
      <c r="AO23" s="8"/>
      <c r="AP23" s="8">
        <f t="shared" si="18"/>
        <v>0</v>
      </c>
      <c r="AQ23" s="10"/>
      <c r="AR23" s="10"/>
      <c r="AS23" s="8">
        <v>0</v>
      </c>
      <c r="AT23" s="8"/>
      <c r="AU23" s="8">
        <f t="shared" si="14"/>
        <v>0</v>
      </c>
      <c r="AV23" s="9">
        <f t="shared" si="5"/>
        <v>0</v>
      </c>
      <c r="AW23" s="10">
        <f t="shared" si="2"/>
        <v>899547.50999999931</v>
      </c>
      <c r="AX23" s="10"/>
      <c r="AY23" s="10"/>
      <c r="AZ23" s="8">
        <v>0</v>
      </c>
      <c r="BA23" s="8"/>
      <c r="BB23" s="8">
        <f t="shared" si="15"/>
        <v>0</v>
      </c>
      <c r="BC23" s="10"/>
      <c r="BD23" s="10"/>
      <c r="BE23" s="8">
        <v>0</v>
      </c>
      <c r="BF23" s="8"/>
      <c r="BG23" s="8">
        <f t="shared" si="16"/>
        <v>0</v>
      </c>
      <c r="BH23" s="9">
        <f t="shared" si="6"/>
        <v>0</v>
      </c>
      <c r="BI23" s="10"/>
      <c r="BJ23" s="10"/>
      <c r="BK23" s="10"/>
      <c r="BL23" s="8">
        <v>0</v>
      </c>
      <c r="BM23" s="8"/>
      <c r="BN23" s="10"/>
      <c r="BO23" s="10"/>
      <c r="BP23" s="10"/>
      <c r="BQ23" s="8">
        <v>0</v>
      </c>
      <c r="BR23" s="8"/>
      <c r="BS23" s="10"/>
      <c r="BT23" s="9">
        <f t="shared" si="17"/>
        <v>899547.50999999931</v>
      </c>
      <c r="BU23" s="9">
        <f>F23+K23+Q23+V23+AC23+AH23+AO23+AT23+BA23+BF23+BM23+BR23</f>
        <v>858017.60000000009</v>
      </c>
      <c r="BV23" s="11">
        <f>BT23-BU23</f>
        <v>41529.909999999218</v>
      </c>
      <c r="IM23" s="3"/>
      <c r="IN23" s="3"/>
      <c r="IO23" s="3"/>
      <c r="IP23" s="3"/>
      <c r="IQ23" s="3"/>
      <c r="IR23" s="3"/>
      <c r="IS23" s="3"/>
      <c r="IT23" s="3"/>
    </row>
    <row r="24" spans="1:254" s="2" customFormat="1" ht="12.75" customHeight="1" x14ac:dyDescent="0.2">
      <c r="A24" s="5" t="s">
        <v>52</v>
      </c>
      <c r="B24" s="5">
        <v>10420000</v>
      </c>
      <c r="C24" s="6">
        <v>800000</v>
      </c>
      <c r="D24" s="6">
        <v>704588</v>
      </c>
      <c r="E24" s="6"/>
      <c r="F24" s="6"/>
      <c r="G24" s="6">
        <f>C24-D24</f>
        <v>95412</v>
      </c>
      <c r="H24" s="6">
        <f>800000+G24</f>
        <v>895412</v>
      </c>
      <c r="I24" s="6">
        <v>698223.68</v>
      </c>
      <c r="J24" s="6"/>
      <c r="K24" s="6"/>
      <c r="L24" s="6">
        <f>H24-I24</f>
        <v>197188.31999999995</v>
      </c>
      <c r="M24" s="7">
        <f>SUM(D24+I24)</f>
        <v>1402811.6800000002</v>
      </c>
      <c r="N24" s="6">
        <f>800000+L24</f>
        <v>997188.32</v>
      </c>
      <c r="O24" s="6">
        <v>708303.56</v>
      </c>
      <c r="P24" s="6"/>
      <c r="Q24" s="6"/>
      <c r="R24" s="6">
        <f>N24-O24</f>
        <v>288884.75999999989</v>
      </c>
      <c r="S24" s="6">
        <f>800000+R24</f>
        <v>1088884.7599999998</v>
      </c>
      <c r="T24" s="6">
        <v>692021.14</v>
      </c>
      <c r="U24" s="6"/>
      <c r="V24" s="6"/>
      <c r="W24" s="6">
        <f>S24-T24</f>
        <v>396863.61999999976</v>
      </c>
      <c r="X24" s="9">
        <f>O24+T24</f>
        <v>1400324.7000000002</v>
      </c>
      <c r="Y24" s="8">
        <f t="shared" si="0"/>
        <v>2803136.3800000004</v>
      </c>
      <c r="Z24" s="6">
        <f>800000+W24</f>
        <v>1196863.6199999996</v>
      </c>
      <c r="AA24" s="6"/>
      <c r="AB24" s="6"/>
      <c r="AC24" s="6"/>
      <c r="AD24" s="8">
        <f>Z24-AA24</f>
        <v>1196863.6199999996</v>
      </c>
      <c r="AE24" s="6">
        <v>800000</v>
      </c>
      <c r="AF24" s="8"/>
      <c r="AG24" s="8"/>
      <c r="AH24" s="8"/>
      <c r="AI24" s="8">
        <f>AE24-AF24</f>
        <v>800000</v>
      </c>
      <c r="AJ24" s="7">
        <f>Z24+AE24</f>
        <v>1996863.6199999996</v>
      </c>
      <c r="AK24" s="8">
        <f t="shared" si="1"/>
        <v>4800000</v>
      </c>
      <c r="AL24" s="6">
        <v>800000</v>
      </c>
      <c r="AM24" s="8"/>
      <c r="AN24" s="6"/>
      <c r="AO24" s="6"/>
      <c r="AP24" s="8">
        <f>AL24-AM24</f>
        <v>800000</v>
      </c>
      <c r="AQ24" s="6">
        <v>800000</v>
      </c>
      <c r="AR24" s="8"/>
      <c r="AS24" s="8"/>
      <c r="AT24" s="8"/>
      <c r="AU24" s="8">
        <f>AQ24-AR24</f>
        <v>800000</v>
      </c>
      <c r="AV24" s="7">
        <f>AL24+AQ24</f>
        <v>1600000</v>
      </c>
      <c r="AW24" s="10">
        <f t="shared" si="2"/>
        <v>6400000</v>
      </c>
      <c r="AX24" s="6">
        <v>800000</v>
      </c>
      <c r="AY24" s="6"/>
      <c r="AZ24" s="6"/>
      <c r="BA24" s="6"/>
      <c r="BB24" s="8">
        <f>AX24-AY24</f>
        <v>800000</v>
      </c>
      <c r="BC24" s="6">
        <v>800000</v>
      </c>
      <c r="BD24" s="8"/>
      <c r="BE24" s="8"/>
      <c r="BF24" s="8"/>
      <c r="BG24" s="8">
        <f>BC24-BD24</f>
        <v>800000</v>
      </c>
      <c r="BH24" s="7">
        <f>AX24+BC24</f>
        <v>1600000</v>
      </c>
      <c r="BI24" s="10"/>
      <c r="BJ24" s="6">
        <v>800000</v>
      </c>
      <c r="BK24" s="13"/>
      <c r="BL24" s="6"/>
      <c r="BM24" s="6"/>
      <c r="BN24" s="6"/>
      <c r="BO24" s="6">
        <v>1620000</v>
      </c>
      <c r="BP24" s="10"/>
      <c r="BQ24" s="8"/>
      <c r="BR24" s="8"/>
      <c r="BS24" s="10"/>
      <c r="BT24" s="9">
        <f>M24+X24+AJ24+AV24+BH24+BJ24+BO24</f>
        <v>10420000</v>
      </c>
      <c r="BU24" s="9"/>
      <c r="BV24" s="11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2.75" customHeight="1" x14ac:dyDescent="0.2">
      <c r="A25" s="5" t="s">
        <v>53</v>
      </c>
      <c r="B25" s="5">
        <v>2204800</v>
      </c>
      <c r="C25" s="6">
        <f>190000+12000</f>
        <v>202000</v>
      </c>
      <c r="D25" s="6">
        <v>201025.18</v>
      </c>
      <c r="E25" s="6"/>
      <c r="F25" s="6"/>
      <c r="G25" s="6">
        <f>C25-D25</f>
        <v>974.82000000000698</v>
      </c>
      <c r="H25" s="6">
        <f>190000+G25</f>
        <v>190974.82</v>
      </c>
      <c r="I25" s="6">
        <v>189191.03</v>
      </c>
      <c r="J25" s="6"/>
      <c r="K25" s="6"/>
      <c r="L25" s="6">
        <f>H25-I25</f>
        <v>1783.7900000000081</v>
      </c>
      <c r="M25" s="7">
        <f>SUM(D25+I25)</f>
        <v>390216.20999999996</v>
      </c>
      <c r="N25" s="6">
        <f>190000+L25</f>
        <v>191783.79</v>
      </c>
      <c r="O25" s="6">
        <v>189086.55</v>
      </c>
      <c r="P25" s="6"/>
      <c r="Q25" s="6"/>
      <c r="R25" s="6">
        <f>N25-O25</f>
        <v>2697.2400000000198</v>
      </c>
      <c r="S25" s="6">
        <f>190000+R25</f>
        <v>192697.24000000002</v>
      </c>
      <c r="T25" s="6">
        <v>190450.39</v>
      </c>
      <c r="U25" s="6"/>
      <c r="V25" s="6"/>
      <c r="W25" s="6">
        <f>S25-T25</f>
        <v>2246.8500000000058</v>
      </c>
      <c r="X25" s="9">
        <f>O25+T25</f>
        <v>379536.94</v>
      </c>
      <c r="Y25" s="8">
        <f>M25+X25</f>
        <v>769753.14999999991</v>
      </c>
      <c r="Z25" s="6">
        <f>190000+W25</f>
        <v>192246.85</v>
      </c>
      <c r="AA25" s="6"/>
      <c r="AB25" s="6"/>
      <c r="AC25" s="6"/>
      <c r="AD25" s="8">
        <f>Z25-AA25</f>
        <v>192246.85</v>
      </c>
      <c r="AE25" s="6">
        <v>190000</v>
      </c>
      <c r="AF25" s="6"/>
      <c r="AG25" s="6"/>
      <c r="AH25" s="6"/>
      <c r="AI25" s="8">
        <f>AE25-AF25</f>
        <v>190000</v>
      </c>
      <c r="AJ25" s="7">
        <f>Z25+AE25</f>
        <v>382246.85</v>
      </c>
      <c r="AK25" s="8">
        <f>Y25+AJ25</f>
        <v>1152000</v>
      </c>
      <c r="AL25" s="6">
        <v>190000</v>
      </c>
      <c r="AM25" s="6"/>
      <c r="AN25" s="6"/>
      <c r="AO25" s="6"/>
      <c r="AP25" s="8">
        <f>AL25-AM25</f>
        <v>190000</v>
      </c>
      <c r="AQ25" s="6">
        <v>190000</v>
      </c>
      <c r="AR25" s="6"/>
      <c r="AS25" s="6"/>
      <c r="AT25" s="6"/>
      <c r="AU25" s="8">
        <f>AQ25-AR25</f>
        <v>190000</v>
      </c>
      <c r="AV25" s="7">
        <f>AL25+AQ25</f>
        <v>380000</v>
      </c>
      <c r="AW25" s="10">
        <f>AK25+AV25</f>
        <v>1532000</v>
      </c>
      <c r="AX25" s="6">
        <v>190000</v>
      </c>
      <c r="AY25" s="6"/>
      <c r="AZ25" s="6"/>
      <c r="BA25" s="6"/>
      <c r="BB25" s="8">
        <f>AX25-AY25</f>
        <v>190000</v>
      </c>
      <c r="BC25" s="6">
        <v>190000</v>
      </c>
      <c r="BD25" s="6"/>
      <c r="BE25" s="6"/>
      <c r="BF25" s="6"/>
      <c r="BG25" s="8">
        <f>BC25-BD25</f>
        <v>190000</v>
      </c>
      <c r="BH25" s="7">
        <f>AX25+BC25</f>
        <v>380000</v>
      </c>
      <c r="BI25" s="10"/>
      <c r="BJ25" s="6">
        <f>190000-12000</f>
        <v>178000</v>
      </c>
      <c r="BK25" s="7"/>
      <c r="BL25" s="6"/>
      <c r="BM25" s="6"/>
      <c r="BN25" s="12"/>
      <c r="BO25" s="6">
        <v>114800</v>
      </c>
      <c r="BP25" s="6"/>
      <c r="BQ25" s="6"/>
      <c r="BR25" s="6"/>
      <c r="BS25" s="6">
        <f>BQ25-BR25</f>
        <v>0</v>
      </c>
      <c r="BT25" s="9">
        <f>M25+X25+AJ25+AV25+BH25+BJ25+BO25</f>
        <v>2204800</v>
      </c>
      <c r="BU25" s="9"/>
      <c r="BV25" s="11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" t="s">
        <v>54</v>
      </c>
      <c r="B26" s="5">
        <v>85862300</v>
      </c>
      <c r="C26" s="6"/>
      <c r="D26" s="7"/>
      <c r="E26" s="6">
        <f>5800000+150000</f>
        <v>5950000</v>
      </c>
      <c r="F26" s="6">
        <v>5570999.8499999996</v>
      </c>
      <c r="G26" s="6">
        <f t="shared" si="7"/>
        <v>379000.15000000037</v>
      </c>
      <c r="H26" s="6"/>
      <c r="I26" s="6"/>
      <c r="J26" s="6">
        <f>7250000+G26+11190.66</f>
        <v>7640190.8100000005</v>
      </c>
      <c r="K26" s="6">
        <v>7433502.4400000004</v>
      </c>
      <c r="L26" s="6">
        <f t="shared" si="8"/>
        <v>206688.37000000011</v>
      </c>
      <c r="M26" s="7">
        <f t="shared" ref="M26:M28" si="19">F26+K26</f>
        <v>13004502.289999999</v>
      </c>
      <c r="N26" s="6"/>
      <c r="O26" s="13"/>
      <c r="P26" s="6">
        <f>7340000+L26</f>
        <v>7546688.3700000001</v>
      </c>
      <c r="Q26" s="6">
        <v>5655863.1900000004</v>
      </c>
      <c r="R26" s="6">
        <f>P26-Q26</f>
        <v>1890825.1799999997</v>
      </c>
      <c r="S26" s="12"/>
      <c r="T26" s="12"/>
      <c r="U26" s="6">
        <f>6930000+R26-341578.64</f>
        <v>8479246.5399999991</v>
      </c>
      <c r="V26" s="6">
        <v>6222637.75</v>
      </c>
      <c r="W26" s="6">
        <f t="shared" ref="W26:W31" si="20">U26-V26</f>
        <v>2256608.7899999991</v>
      </c>
      <c r="X26" s="9">
        <f t="shared" ref="X26:X31" si="21">Q26+V26</f>
        <v>11878500.940000001</v>
      </c>
      <c r="Y26" s="8"/>
      <c r="Z26" s="8"/>
      <c r="AA26" s="8"/>
      <c r="AB26" s="8">
        <f>7120000+W26</f>
        <v>9376608.7899999991</v>
      </c>
      <c r="AC26" s="8"/>
      <c r="AD26" s="8">
        <f>AB26-AC26</f>
        <v>9376608.7899999991</v>
      </c>
      <c r="AE26" s="10"/>
      <c r="AF26" s="10"/>
      <c r="AG26" s="8">
        <v>6320000</v>
      </c>
      <c r="AH26" s="8"/>
      <c r="AI26" s="8">
        <f>AG26-AH26</f>
        <v>6320000</v>
      </c>
      <c r="AJ26" s="9">
        <f>AB26+AG26</f>
        <v>15696608.789999999</v>
      </c>
      <c r="AK26" s="8"/>
      <c r="AL26" s="10"/>
      <c r="AM26" s="8"/>
      <c r="AN26" s="8">
        <v>6315000</v>
      </c>
      <c r="AO26" s="8"/>
      <c r="AP26" s="8">
        <f t="shared" si="18"/>
        <v>6315000</v>
      </c>
      <c r="AQ26" s="10"/>
      <c r="AR26" s="10"/>
      <c r="AS26" s="8">
        <v>5064000</v>
      </c>
      <c r="AT26" s="8"/>
      <c r="AU26" s="8">
        <f t="shared" si="14"/>
        <v>5064000</v>
      </c>
      <c r="AV26" s="9">
        <f>AN26+AS26</f>
        <v>11379000</v>
      </c>
      <c r="AW26" s="10"/>
      <c r="AX26" s="10"/>
      <c r="AY26" s="10"/>
      <c r="AZ26" s="8">
        <v>7012000</v>
      </c>
      <c r="BA26" s="8"/>
      <c r="BB26" s="8">
        <f t="shared" si="15"/>
        <v>7012000</v>
      </c>
      <c r="BC26" s="10"/>
      <c r="BD26" s="10"/>
      <c r="BE26" s="8">
        <v>6830000</v>
      </c>
      <c r="BF26" s="8"/>
      <c r="BG26" s="8">
        <f>BE26-BF26</f>
        <v>6830000</v>
      </c>
      <c r="BH26" s="9">
        <f>AZ26+BE26</f>
        <v>13842000</v>
      </c>
      <c r="BI26" s="10"/>
      <c r="BJ26" s="10"/>
      <c r="BK26" s="10"/>
      <c r="BL26" s="8">
        <v>7180000</v>
      </c>
      <c r="BM26" s="8"/>
      <c r="BN26" s="10"/>
      <c r="BO26" s="10"/>
      <c r="BP26" s="10"/>
      <c r="BQ26" s="8">
        <v>12701300</v>
      </c>
      <c r="BR26" s="8"/>
      <c r="BS26" s="10"/>
      <c r="BT26" s="9">
        <f>M26+X26+AJ26+AV26+BH26+BL26+BQ26</f>
        <v>85681912.019999996</v>
      </c>
      <c r="BU26" s="9"/>
      <c r="BV26" s="11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2.75" customHeight="1" x14ac:dyDescent="0.2">
      <c r="A27" s="5" t="s">
        <v>55</v>
      </c>
      <c r="B27" s="5">
        <v>3606000</v>
      </c>
      <c r="C27" s="6"/>
      <c r="D27" s="7"/>
      <c r="E27" s="6">
        <f>330000+235000-558000+20000</f>
        <v>27000</v>
      </c>
      <c r="F27" s="6">
        <v>20915.71</v>
      </c>
      <c r="G27" s="6">
        <f t="shared" si="7"/>
        <v>6084.2900000000009</v>
      </c>
      <c r="H27" s="6"/>
      <c r="I27" s="6"/>
      <c r="J27" s="6">
        <f>320000-20000+G27</f>
        <v>306084.28999999998</v>
      </c>
      <c r="K27" s="6">
        <v>51585.64</v>
      </c>
      <c r="L27" s="6">
        <f>J27-K27</f>
        <v>254498.64999999997</v>
      </c>
      <c r="M27" s="7">
        <f t="shared" si="19"/>
        <v>72501.350000000006</v>
      </c>
      <c r="N27" s="6"/>
      <c r="O27" s="13"/>
      <c r="P27" s="6">
        <f>294000+L27+2662000-1699816.87</f>
        <v>1510681.7799999998</v>
      </c>
      <c r="Q27" s="6">
        <v>8873.94</v>
      </c>
      <c r="R27" s="6">
        <f>P27-Q27</f>
        <v>1501807.8399999999</v>
      </c>
      <c r="S27" s="12"/>
      <c r="T27" s="12"/>
      <c r="U27" s="6">
        <f>R27-1249746.97</f>
        <v>252060.86999999988</v>
      </c>
      <c r="V27" s="6">
        <v>392.6</v>
      </c>
      <c r="W27" s="6">
        <f t="shared" si="20"/>
        <v>251668.26999999987</v>
      </c>
      <c r="X27" s="9">
        <f t="shared" si="21"/>
        <v>9266.5400000000009</v>
      </c>
      <c r="Y27" s="8"/>
      <c r="Z27" s="8"/>
      <c r="AA27" s="8"/>
      <c r="AB27" s="8">
        <f>W27</f>
        <v>251668.26999999987</v>
      </c>
      <c r="AC27" s="8"/>
      <c r="AD27" s="8">
        <f t="shared" ref="AD27:AD28" si="22">AB27-AC27</f>
        <v>251668.26999999987</v>
      </c>
      <c r="AE27" s="10"/>
      <c r="AF27" s="10"/>
      <c r="AG27" s="8">
        <v>0</v>
      </c>
      <c r="AH27" s="8"/>
      <c r="AI27" s="8">
        <f>AG27-AH27</f>
        <v>0</v>
      </c>
      <c r="AJ27" s="9">
        <f>AB27+AG27</f>
        <v>251668.26999999987</v>
      </c>
      <c r="AK27" s="8"/>
      <c r="AL27" s="10"/>
      <c r="AM27" s="8"/>
      <c r="AN27" s="8">
        <v>0</v>
      </c>
      <c r="AO27" s="8"/>
      <c r="AP27" s="8">
        <f t="shared" si="18"/>
        <v>0</v>
      </c>
      <c r="AQ27" s="10"/>
      <c r="AR27" s="10"/>
      <c r="AS27" s="8">
        <v>0</v>
      </c>
      <c r="AT27" s="8"/>
      <c r="AU27" s="8">
        <f t="shared" si="14"/>
        <v>0</v>
      </c>
      <c r="AV27" s="9">
        <f>AN27+AS27</f>
        <v>0</v>
      </c>
      <c r="AW27" s="10"/>
      <c r="AX27" s="10"/>
      <c r="AY27" s="10"/>
      <c r="AZ27" s="8">
        <v>0</v>
      </c>
      <c r="BA27" s="8"/>
      <c r="BB27" s="8">
        <f>AZ27-BA27</f>
        <v>0</v>
      </c>
      <c r="BC27" s="10"/>
      <c r="BD27" s="10"/>
      <c r="BE27" s="8">
        <v>0</v>
      </c>
      <c r="BF27" s="8"/>
      <c r="BG27" s="8">
        <f t="shared" si="16"/>
        <v>0</v>
      </c>
      <c r="BH27" s="9">
        <f>AZ27+BE27</f>
        <v>0</v>
      </c>
      <c r="BI27" s="10"/>
      <c r="BJ27" s="10"/>
      <c r="BK27" s="10"/>
      <c r="BL27" s="8">
        <v>0</v>
      </c>
      <c r="BM27" s="8"/>
      <c r="BN27" s="10"/>
      <c r="BO27" s="10"/>
      <c r="BP27" s="10"/>
      <c r="BQ27" s="8">
        <v>0</v>
      </c>
      <c r="BR27" s="8"/>
      <c r="BS27" s="10"/>
      <c r="BT27" s="9">
        <f>M27+X27+AJ27+AV27+BH27+BL27+BQ27</f>
        <v>333436.15999999992</v>
      </c>
      <c r="BU27" s="9"/>
      <c r="BV27" s="11"/>
      <c r="IM27" s="3"/>
      <c r="IN27" s="3"/>
      <c r="IO27" s="3"/>
      <c r="IP27" s="3"/>
      <c r="IQ27" s="3"/>
      <c r="IR27" s="3"/>
      <c r="IS27" s="3"/>
      <c r="IT27" s="3"/>
    </row>
    <row r="28" spans="1:254" s="2" customFormat="1" ht="12.75" customHeight="1" x14ac:dyDescent="0.2">
      <c r="A28" s="5" t="s">
        <v>56</v>
      </c>
      <c r="B28" s="5">
        <v>420000</v>
      </c>
      <c r="C28" s="6"/>
      <c r="D28" s="7"/>
      <c r="E28" s="6">
        <f>35000-50000+21000</f>
        <v>6000</v>
      </c>
      <c r="F28" s="6">
        <v>5073.1000000000004</v>
      </c>
      <c r="G28" s="6">
        <f>E28-F28</f>
        <v>926.89999999999964</v>
      </c>
      <c r="H28" s="6"/>
      <c r="I28" s="6"/>
      <c r="J28" s="6">
        <f>28000-21000+G28</f>
        <v>7926.9</v>
      </c>
      <c r="K28" s="6">
        <v>0</v>
      </c>
      <c r="L28" s="6">
        <f>J28-K28-I28</f>
        <v>7926.9</v>
      </c>
      <c r="M28" s="7">
        <f t="shared" si="19"/>
        <v>5073.1000000000004</v>
      </c>
      <c r="N28" s="13"/>
      <c r="O28" s="13"/>
      <c r="P28" s="6">
        <f>27000+L28+330000-364926.9</f>
        <v>0</v>
      </c>
      <c r="Q28" s="6">
        <v>0</v>
      </c>
      <c r="R28" s="6">
        <f>P28-Q28</f>
        <v>0</v>
      </c>
      <c r="S28" s="12"/>
      <c r="T28" s="12"/>
      <c r="U28" s="6">
        <v>0</v>
      </c>
      <c r="V28" s="6">
        <v>0</v>
      </c>
      <c r="W28" s="6">
        <f t="shared" si="20"/>
        <v>0</v>
      </c>
      <c r="X28" s="9">
        <f t="shared" si="21"/>
        <v>0</v>
      </c>
      <c r="Y28" s="8">
        <f>M28+X28</f>
        <v>5073.1000000000004</v>
      </c>
      <c r="Z28" s="8"/>
      <c r="AA28" s="8"/>
      <c r="AB28" s="8">
        <v>0</v>
      </c>
      <c r="AC28" s="8"/>
      <c r="AD28" s="8">
        <f t="shared" si="22"/>
        <v>0</v>
      </c>
      <c r="AE28" s="10"/>
      <c r="AF28" s="10"/>
      <c r="AG28" s="8">
        <v>0</v>
      </c>
      <c r="AH28" s="8"/>
      <c r="AI28" s="8">
        <f>AG28-AH28</f>
        <v>0</v>
      </c>
      <c r="AJ28" s="9">
        <f>AB28+AG28</f>
        <v>0</v>
      </c>
      <c r="AK28" s="8">
        <f>Y28+AJ28</f>
        <v>5073.1000000000004</v>
      </c>
      <c r="AL28" s="10"/>
      <c r="AM28" s="8"/>
      <c r="AN28" s="8">
        <v>0</v>
      </c>
      <c r="AO28" s="8"/>
      <c r="AP28" s="8">
        <f>AN28-AO28</f>
        <v>0</v>
      </c>
      <c r="AQ28" s="10"/>
      <c r="AR28" s="10"/>
      <c r="AS28" s="8">
        <v>0</v>
      </c>
      <c r="AT28" s="8"/>
      <c r="AU28" s="8">
        <f>AS28-AT28</f>
        <v>0</v>
      </c>
      <c r="AV28" s="9">
        <f>AN28+AS28</f>
        <v>0</v>
      </c>
      <c r="AW28" s="10">
        <f>AK28+AV28</f>
        <v>5073.1000000000004</v>
      </c>
      <c r="AX28" s="10"/>
      <c r="AY28" s="10"/>
      <c r="AZ28" s="8">
        <v>0</v>
      </c>
      <c r="BA28" s="8"/>
      <c r="BB28" s="8">
        <f>AZ28-BA28</f>
        <v>0</v>
      </c>
      <c r="BC28" s="10"/>
      <c r="BD28" s="10"/>
      <c r="BE28" s="8">
        <v>0</v>
      </c>
      <c r="BF28" s="8"/>
      <c r="BG28" s="8">
        <f>BE28-BF28</f>
        <v>0</v>
      </c>
      <c r="BH28" s="9">
        <f>AZ28+BE28</f>
        <v>0</v>
      </c>
      <c r="BI28" s="10"/>
      <c r="BJ28" s="10"/>
      <c r="BK28" s="10"/>
      <c r="BL28" s="8">
        <v>0</v>
      </c>
      <c r="BM28" s="8"/>
      <c r="BN28" s="10"/>
      <c r="BO28" s="10"/>
      <c r="BP28" s="10"/>
      <c r="BQ28" s="8">
        <v>0</v>
      </c>
      <c r="BR28" s="8"/>
      <c r="BS28" s="10"/>
      <c r="BT28" s="9">
        <f>M28+X28+AJ28+AV28+BH28+BL28+BQ28</f>
        <v>5073.1000000000004</v>
      </c>
      <c r="BU28" s="9">
        <f>F28+K28+Q28+V28+AC28+AH28+AO28+AT28+BA28+BF28+BM28+BR28</f>
        <v>5073.1000000000004</v>
      </c>
      <c r="BV28" s="11">
        <f>BT28-BU28</f>
        <v>0</v>
      </c>
      <c r="IM28" s="3"/>
      <c r="IN28" s="3"/>
      <c r="IO28" s="3"/>
      <c r="IP28" s="3"/>
      <c r="IQ28" s="3"/>
      <c r="IR28" s="3"/>
      <c r="IS28" s="3"/>
      <c r="IT28" s="3"/>
    </row>
    <row r="29" spans="1:254" s="2" customFormat="1" ht="12.75" customHeight="1" x14ac:dyDescent="0.2">
      <c r="A29" s="5" t="s">
        <v>62</v>
      </c>
      <c r="B29" s="5"/>
      <c r="C29" s="6"/>
      <c r="D29" s="7"/>
      <c r="E29" s="6"/>
      <c r="F29" s="6"/>
      <c r="G29" s="6"/>
      <c r="H29" s="6"/>
      <c r="I29" s="6"/>
      <c r="J29" s="6"/>
      <c r="K29" s="6"/>
      <c r="L29" s="6"/>
      <c r="M29" s="7"/>
      <c r="N29" s="13"/>
      <c r="O29" s="13"/>
      <c r="P29" s="6">
        <f>9067196.54-4200000</f>
        <v>4867196.5399999991</v>
      </c>
      <c r="Q29" s="6">
        <v>257579.38</v>
      </c>
      <c r="R29" s="6">
        <f t="shared" ref="R29:R31" si="23">P29-Q29</f>
        <v>4609617.1599999992</v>
      </c>
      <c r="S29" s="12"/>
      <c r="T29" s="12"/>
      <c r="U29" s="6">
        <f>400000+R29-80000</f>
        <v>4929617.1599999992</v>
      </c>
      <c r="V29" s="6">
        <v>315207.3</v>
      </c>
      <c r="W29" s="6">
        <f t="shared" si="20"/>
        <v>4614409.8599999994</v>
      </c>
      <c r="X29" s="9">
        <f t="shared" si="21"/>
        <v>572786.67999999993</v>
      </c>
      <c r="Y29" s="8"/>
      <c r="Z29" s="8"/>
      <c r="AA29" s="8"/>
      <c r="AB29" s="8">
        <f>400000+W29</f>
        <v>5014409.8599999994</v>
      </c>
      <c r="AC29" s="8"/>
      <c r="AD29" s="8"/>
      <c r="AE29" s="10"/>
      <c r="AF29" s="10"/>
      <c r="AG29" s="8">
        <v>400000</v>
      </c>
      <c r="AH29" s="8"/>
      <c r="AI29" s="8"/>
      <c r="AJ29" s="9">
        <f t="shared" ref="AJ29:AJ31" si="24">AB29+AG29</f>
        <v>5414409.8599999994</v>
      </c>
      <c r="AK29" s="8"/>
      <c r="AL29" s="10"/>
      <c r="AM29" s="8"/>
      <c r="AN29" s="8">
        <v>400000</v>
      </c>
      <c r="AO29" s="8"/>
      <c r="AP29" s="8"/>
      <c r="AQ29" s="10"/>
      <c r="AR29" s="10"/>
      <c r="AS29" s="8">
        <v>400000</v>
      </c>
      <c r="AT29" s="8"/>
      <c r="AU29" s="8"/>
      <c r="AV29" s="9">
        <f t="shared" ref="AV29:AV31" si="25">AN29+AS29</f>
        <v>800000</v>
      </c>
      <c r="AW29" s="10"/>
      <c r="AX29" s="10"/>
      <c r="AY29" s="10"/>
      <c r="AZ29" s="8">
        <v>400000</v>
      </c>
      <c r="BA29" s="8"/>
      <c r="BB29" s="8"/>
      <c r="BC29" s="10"/>
      <c r="BD29" s="10"/>
      <c r="BE29" s="8">
        <v>400000</v>
      </c>
      <c r="BF29" s="8"/>
      <c r="BG29" s="8"/>
      <c r="BH29" s="9">
        <f t="shared" ref="BH29:BH31" si="26">AZ29+BE29</f>
        <v>800000</v>
      </c>
      <c r="BI29" s="10"/>
      <c r="BJ29" s="10"/>
      <c r="BK29" s="10"/>
      <c r="BL29" s="8">
        <v>400000</v>
      </c>
      <c r="BM29" s="8"/>
      <c r="BN29" s="10"/>
      <c r="BO29" s="10"/>
      <c r="BP29" s="10"/>
      <c r="BQ29" s="8">
        <v>1000000</v>
      </c>
      <c r="BR29" s="8"/>
      <c r="BS29" s="10"/>
      <c r="BT29" s="9">
        <f t="shared" ref="BT29:BT31" si="27">M29+X29+AJ29+AV29+BH29+BL29+BQ29</f>
        <v>8987196.5399999991</v>
      </c>
      <c r="BU29" s="9"/>
      <c r="BV29" s="11"/>
      <c r="IM29" s="3"/>
      <c r="IN29" s="3"/>
      <c r="IO29" s="3"/>
      <c r="IP29" s="3"/>
      <c r="IQ29" s="3"/>
      <c r="IR29" s="3"/>
      <c r="IS29" s="3"/>
      <c r="IT29" s="3"/>
    </row>
    <row r="30" spans="1:254" s="2" customFormat="1" ht="12.75" customHeight="1" x14ac:dyDescent="0.2">
      <c r="A30" s="5" t="s">
        <v>63</v>
      </c>
      <c r="B30" s="5"/>
      <c r="C30" s="6"/>
      <c r="D30" s="7"/>
      <c r="E30" s="6"/>
      <c r="F30" s="6"/>
      <c r="G30" s="6"/>
      <c r="H30" s="6"/>
      <c r="I30" s="6"/>
      <c r="J30" s="6"/>
      <c r="K30" s="6"/>
      <c r="L30" s="6"/>
      <c r="M30" s="7"/>
      <c r="N30" s="13"/>
      <c r="O30" s="13"/>
      <c r="P30" s="6">
        <f>4746632.52-1100000</f>
        <v>3646632.5199999996</v>
      </c>
      <c r="Q30" s="6">
        <v>58821.42</v>
      </c>
      <c r="R30" s="6">
        <f t="shared" si="23"/>
        <v>3587811.0999999996</v>
      </c>
      <c r="S30" s="12"/>
      <c r="T30" s="12"/>
      <c r="U30" s="6">
        <f>100000+R30-3110000</f>
        <v>577811.09999999963</v>
      </c>
      <c r="V30" s="6">
        <v>68832.05</v>
      </c>
      <c r="W30" s="6">
        <f t="shared" si="20"/>
        <v>508979.04999999964</v>
      </c>
      <c r="X30" s="9">
        <f t="shared" si="21"/>
        <v>127653.47</v>
      </c>
      <c r="Y30" s="8"/>
      <c r="Z30" s="8"/>
      <c r="AA30" s="8"/>
      <c r="AB30" s="8">
        <f>100000+W30</f>
        <v>608979.04999999958</v>
      </c>
      <c r="AC30" s="8"/>
      <c r="AD30" s="8"/>
      <c r="AE30" s="10"/>
      <c r="AF30" s="10"/>
      <c r="AG30" s="8">
        <v>100000</v>
      </c>
      <c r="AH30" s="8"/>
      <c r="AI30" s="8"/>
      <c r="AJ30" s="9">
        <f t="shared" si="24"/>
        <v>708979.04999999958</v>
      </c>
      <c r="AK30" s="8"/>
      <c r="AL30" s="10"/>
      <c r="AM30" s="8"/>
      <c r="AN30" s="8">
        <v>100000</v>
      </c>
      <c r="AO30" s="8"/>
      <c r="AP30" s="8"/>
      <c r="AQ30" s="10"/>
      <c r="AR30" s="10"/>
      <c r="AS30" s="8">
        <v>100000</v>
      </c>
      <c r="AT30" s="8"/>
      <c r="AU30" s="8"/>
      <c r="AV30" s="9">
        <f t="shared" si="25"/>
        <v>200000</v>
      </c>
      <c r="AW30" s="10"/>
      <c r="AX30" s="10"/>
      <c r="AY30" s="10"/>
      <c r="AZ30" s="8">
        <v>100000</v>
      </c>
      <c r="BA30" s="8"/>
      <c r="BB30" s="8"/>
      <c r="BC30" s="10"/>
      <c r="BD30" s="10"/>
      <c r="BE30" s="8">
        <v>100000</v>
      </c>
      <c r="BF30" s="8"/>
      <c r="BG30" s="8"/>
      <c r="BH30" s="9">
        <f t="shared" si="26"/>
        <v>200000</v>
      </c>
      <c r="BI30" s="10"/>
      <c r="BJ30" s="10"/>
      <c r="BK30" s="10"/>
      <c r="BL30" s="8">
        <v>100000</v>
      </c>
      <c r="BM30" s="8"/>
      <c r="BN30" s="10"/>
      <c r="BO30" s="10"/>
      <c r="BP30" s="10"/>
      <c r="BQ30" s="8">
        <v>300000</v>
      </c>
      <c r="BR30" s="8"/>
      <c r="BS30" s="10"/>
      <c r="BT30" s="9">
        <f t="shared" si="27"/>
        <v>1636632.5199999996</v>
      </c>
      <c r="BU30" s="9"/>
      <c r="BV30" s="11"/>
      <c r="IM30" s="3"/>
      <c r="IN30" s="3"/>
      <c r="IO30" s="3"/>
      <c r="IP30" s="3"/>
      <c r="IQ30" s="3"/>
      <c r="IR30" s="3"/>
      <c r="IS30" s="3"/>
      <c r="IT30" s="3"/>
    </row>
    <row r="31" spans="1:254" s="2" customFormat="1" ht="12.75" customHeight="1" x14ac:dyDescent="0.2">
      <c r="A31" s="5" t="s">
        <v>64</v>
      </c>
      <c r="B31" s="5"/>
      <c r="C31" s="6"/>
      <c r="D31" s="7"/>
      <c r="E31" s="6"/>
      <c r="F31" s="6"/>
      <c r="G31" s="6"/>
      <c r="H31" s="6"/>
      <c r="I31" s="6"/>
      <c r="J31" s="6"/>
      <c r="K31" s="6"/>
      <c r="L31" s="6"/>
      <c r="M31" s="7"/>
      <c r="N31" s="13"/>
      <c r="O31" s="13"/>
      <c r="P31" s="6">
        <f>42452702.07-8400000</f>
        <v>34052702.07</v>
      </c>
      <c r="Q31" s="6">
        <v>627161.86</v>
      </c>
      <c r="R31" s="6">
        <f t="shared" si="23"/>
        <v>33425540.210000001</v>
      </c>
      <c r="S31" s="12"/>
      <c r="T31" s="12"/>
      <c r="U31" s="6">
        <f>800000+R31+2268000</f>
        <v>36493540.210000001</v>
      </c>
      <c r="V31" s="6">
        <v>581139.35</v>
      </c>
      <c r="W31" s="6">
        <f t="shared" si="20"/>
        <v>35912400.859999999</v>
      </c>
      <c r="X31" s="9">
        <f t="shared" si="21"/>
        <v>1208301.21</v>
      </c>
      <c r="Y31" s="8"/>
      <c r="Z31" s="8"/>
      <c r="AA31" s="8"/>
      <c r="AB31" s="8">
        <f>800000+W31</f>
        <v>36712400.859999999</v>
      </c>
      <c r="AC31" s="8"/>
      <c r="AD31" s="8"/>
      <c r="AE31" s="10"/>
      <c r="AF31" s="10"/>
      <c r="AG31" s="8">
        <v>800000</v>
      </c>
      <c r="AH31" s="8"/>
      <c r="AI31" s="8"/>
      <c r="AJ31" s="9">
        <f t="shared" si="24"/>
        <v>37512400.859999999</v>
      </c>
      <c r="AK31" s="8"/>
      <c r="AL31" s="10"/>
      <c r="AM31" s="8"/>
      <c r="AN31" s="8">
        <v>800000</v>
      </c>
      <c r="AO31" s="8"/>
      <c r="AP31" s="8"/>
      <c r="AQ31" s="10"/>
      <c r="AR31" s="10"/>
      <c r="AS31" s="8">
        <v>800000</v>
      </c>
      <c r="AT31" s="8"/>
      <c r="AU31" s="8"/>
      <c r="AV31" s="9">
        <f t="shared" si="25"/>
        <v>1600000</v>
      </c>
      <c r="AW31" s="10"/>
      <c r="AX31" s="10"/>
      <c r="AY31" s="10"/>
      <c r="AZ31" s="8">
        <v>800000</v>
      </c>
      <c r="BA31" s="8"/>
      <c r="BB31" s="8"/>
      <c r="BC31" s="10"/>
      <c r="BD31" s="10"/>
      <c r="BE31" s="8">
        <v>800000</v>
      </c>
      <c r="BF31" s="8"/>
      <c r="BG31" s="8"/>
      <c r="BH31" s="9">
        <f t="shared" si="26"/>
        <v>1600000</v>
      </c>
      <c r="BI31" s="10"/>
      <c r="BJ31" s="10"/>
      <c r="BK31" s="10"/>
      <c r="BL31" s="8">
        <v>800000</v>
      </c>
      <c r="BM31" s="8"/>
      <c r="BN31" s="10"/>
      <c r="BO31" s="10"/>
      <c r="BP31" s="10"/>
      <c r="BQ31" s="8">
        <v>2000000</v>
      </c>
      <c r="BR31" s="8"/>
      <c r="BS31" s="10"/>
      <c r="BT31" s="9">
        <f t="shared" si="27"/>
        <v>44720702.07</v>
      </c>
      <c r="BU31" s="9"/>
      <c r="BV31" s="11"/>
      <c r="IM31" s="3"/>
      <c r="IN31" s="3"/>
      <c r="IO31" s="3"/>
      <c r="IP31" s="3"/>
      <c r="IQ31" s="3"/>
      <c r="IR31" s="3"/>
      <c r="IS31" s="3"/>
      <c r="IT31" s="3"/>
    </row>
    <row r="32" spans="1:254" s="16" customFormat="1" ht="12.75" customHeight="1" x14ac:dyDescent="0.2">
      <c r="A32" s="14" t="s">
        <v>20</v>
      </c>
      <c r="B32" s="15">
        <f>SUM(B5:B28)</f>
        <v>557500000</v>
      </c>
      <c r="C32" s="9">
        <f t="shared" ref="C32:K32" si="28">SUM(C5:C28)</f>
        <v>3512000</v>
      </c>
      <c r="D32" s="9">
        <f t="shared" si="28"/>
        <v>3409615.3200000003</v>
      </c>
      <c r="E32" s="9">
        <f t="shared" si="28"/>
        <v>47954266.850000001</v>
      </c>
      <c r="F32" s="9">
        <f t="shared" si="28"/>
        <v>33272528.219999999</v>
      </c>
      <c r="G32" s="9">
        <f>SUM(G5:G28)</f>
        <v>14784123.310000001</v>
      </c>
      <c r="H32" s="9">
        <f t="shared" si="28"/>
        <v>3272384.6799999997</v>
      </c>
      <c r="I32" s="9">
        <f t="shared" si="28"/>
        <v>3073370.58</v>
      </c>
      <c r="J32" s="9">
        <f t="shared" si="28"/>
        <v>59382052.009999998</v>
      </c>
      <c r="K32" s="9">
        <f t="shared" si="28"/>
        <v>33358708.060000002</v>
      </c>
      <c r="L32" s="9">
        <f>SUM(L5:L28)</f>
        <v>26222358.049999993</v>
      </c>
      <c r="M32" s="9">
        <f>SUM(M5:M28)</f>
        <v>73114222.179999992</v>
      </c>
      <c r="N32" s="9">
        <f>SUM(N5:N28)</f>
        <v>3389014.0999999996</v>
      </c>
      <c r="O32" s="9">
        <f t="shared" ref="O32:BV32" si="29">SUM(O5:O28)</f>
        <v>3064338.15</v>
      </c>
      <c r="P32" s="9">
        <f>SUM(P5:P31)</f>
        <v>115012956.88</v>
      </c>
      <c r="Q32" s="9">
        <f>SUM(Q5:Q31)</f>
        <v>35694877.539999999</v>
      </c>
      <c r="R32" s="9">
        <f>SUM(R5:R31)</f>
        <v>79642755.289999992</v>
      </c>
      <c r="S32" s="9">
        <f>SUM(S5:S31)</f>
        <v>3414675.9499999997</v>
      </c>
      <c r="T32" s="9">
        <f t="shared" si="29"/>
        <v>2759519.25</v>
      </c>
      <c r="U32" s="9">
        <f>SUM(U5:U31)</f>
        <v>117636100.69999999</v>
      </c>
      <c r="V32" s="9">
        <f>SUM(V5:V31)</f>
        <v>36272206.709999993</v>
      </c>
      <c r="W32" s="9">
        <f t="shared" si="29"/>
        <v>40983260.920000002</v>
      </c>
      <c r="X32" s="9">
        <f>SUM(X5:X31)</f>
        <v>77790941.650000006</v>
      </c>
      <c r="Y32" s="9">
        <f t="shared" si="29"/>
        <v>78359239.609999985</v>
      </c>
      <c r="Z32" s="9">
        <f t="shared" si="29"/>
        <v>3445156.6999999997</v>
      </c>
      <c r="AA32" s="9">
        <f t="shared" si="29"/>
        <v>0</v>
      </c>
      <c r="AB32" s="9">
        <f>SUM(AB5:AB31)</f>
        <v>117946893.98999998</v>
      </c>
      <c r="AC32" s="9">
        <f t="shared" si="29"/>
        <v>0</v>
      </c>
      <c r="AD32" s="9">
        <f>SUM(AD5:AD28)</f>
        <v>79056260.919999972</v>
      </c>
      <c r="AE32" s="9">
        <f t="shared" si="29"/>
        <v>2790000</v>
      </c>
      <c r="AF32" s="9">
        <f t="shared" si="29"/>
        <v>0</v>
      </c>
      <c r="AG32" s="9">
        <f>SUM(AG5:AG31)</f>
        <v>36374000</v>
      </c>
      <c r="AH32" s="9">
        <f t="shared" si="29"/>
        <v>0</v>
      </c>
      <c r="AI32" s="9">
        <f t="shared" si="29"/>
        <v>37864000</v>
      </c>
      <c r="AJ32" s="9">
        <f>SUM(AJ5:AJ31)</f>
        <v>160556050.68999994</v>
      </c>
      <c r="AK32" s="9">
        <f t="shared" ref="AK32:AN32" si="30">SUM(AK5:AK31)</f>
        <v>145524822.87999997</v>
      </c>
      <c r="AL32" s="9">
        <f t="shared" si="30"/>
        <v>2790000</v>
      </c>
      <c r="AM32" s="9">
        <f t="shared" si="30"/>
        <v>0</v>
      </c>
      <c r="AN32" s="9">
        <f t="shared" si="30"/>
        <v>37983000</v>
      </c>
      <c r="AO32" s="9">
        <f t="shared" ref="AO32" si="31">SUM(AO5:AO31)</f>
        <v>0</v>
      </c>
      <c r="AP32" s="9">
        <f t="shared" ref="AP32" si="32">SUM(AP5:AP31)</f>
        <v>39473000</v>
      </c>
      <c r="AQ32" s="9">
        <f t="shared" ref="AQ32" si="33">SUM(AQ5:AQ31)</f>
        <v>2790000</v>
      </c>
      <c r="AR32" s="9">
        <f t="shared" ref="AR32" si="34">SUM(AR5:AR31)</f>
        <v>0</v>
      </c>
      <c r="AS32" s="9">
        <f t="shared" ref="AS32" si="35">SUM(AS5:AS31)</f>
        <v>33918000</v>
      </c>
      <c r="AT32" s="9">
        <f t="shared" ref="AT32" si="36">SUM(AT5:AT31)</f>
        <v>0</v>
      </c>
      <c r="AU32" s="9">
        <f t="shared" ref="AU32" si="37">SUM(AU5:AU31)</f>
        <v>35408000</v>
      </c>
      <c r="AV32" s="9">
        <f>SUM(AV5:AV31)</f>
        <v>77481000</v>
      </c>
      <c r="AW32" s="9">
        <f t="shared" ref="AW32:BH32" si="38">SUM(AW5:AW31)</f>
        <v>185784822.87999994</v>
      </c>
      <c r="AX32" s="9">
        <f t="shared" si="38"/>
        <v>2690000</v>
      </c>
      <c r="AY32" s="9">
        <f t="shared" si="38"/>
        <v>0</v>
      </c>
      <c r="AZ32" s="9">
        <f t="shared" si="38"/>
        <v>38093000</v>
      </c>
      <c r="BA32" s="9">
        <f t="shared" si="38"/>
        <v>0</v>
      </c>
      <c r="BB32" s="9">
        <f t="shared" si="38"/>
        <v>39483000</v>
      </c>
      <c r="BC32" s="9">
        <f t="shared" si="38"/>
        <v>2590000</v>
      </c>
      <c r="BD32" s="9">
        <f t="shared" si="38"/>
        <v>0</v>
      </c>
      <c r="BE32" s="9">
        <f t="shared" si="38"/>
        <v>37247000</v>
      </c>
      <c r="BF32" s="9">
        <f t="shared" si="38"/>
        <v>0</v>
      </c>
      <c r="BG32" s="9">
        <f t="shared" si="38"/>
        <v>38537000</v>
      </c>
      <c r="BH32" s="9">
        <f t="shared" si="38"/>
        <v>80620000</v>
      </c>
      <c r="BI32" s="9">
        <f t="shared" ref="BI32" si="39">SUM(BI5:BI31)</f>
        <v>0</v>
      </c>
      <c r="BJ32" s="9">
        <f t="shared" ref="BJ32" si="40">SUM(BJ5:BJ31)</f>
        <v>2468000</v>
      </c>
      <c r="BK32" s="9">
        <f t="shared" ref="BK32" si="41">SUM(BK5:BK31)</f>
        <v>0</v>
      </c>
      <c r="BL32" s="9">
        <f t="shared" ref="BL32" si="42">SUM(BL5:BL31)</f>
        <v>38504850</v>
      </c>
      <c r="BM32" s="9">
        <f t="shared" ref="BM32" si="43">SUM(BM5:BM31)</f>
        <v>0</v>
      </c>
      <c r="BN32" s="9">
        <f t="shared" ref="BN32" si="44">SUM(BN5:BN31)</f>
        <v>0</v>
      </c>
      <c r="BO32" s="9">
        <f t="shared" ref="BO32" si="45">SUM(BO5:BO31)</f>
        <v>3197800</v>
      </c>
      <c r="BP32" s="9">
        <f t="shared" ref="BP32" si="46">SUM(BP5:BP31)</f>
        <v>0</v>
      </c>
      <c r="BQ32" s="9">
        <f t="shared" ref="BQ32" si="47">SUM(BQ5:BQ31)</f>
        <v>62548150</v>
      </c>
      <c r="BR32" s="9">
        <f t="shared" ref="BR32" si="48">SUM(BR5:BR31)</f>
        <v>0</v>
      </c>
      <c r="BS32" s="9">
        <f t="shared" ref="BS32" si="49">SUM(BS5:BS31)</f>
        <v>0</v>
      </c>
      <c r="BT32" s="9">
        <f t="shared" ref="BT32" si="50">SUM(BT5:BT31)</f>
        <v>576281014.52000022</v>
      </c>
      <c r="BU32" s="9">
        <f t="shared" si="29"/>
        <v>11238031.119999997</v>
      </c>
      <c r="BV32" s="9">
        <f t="shared" si="29"/>
        <v>58426527.239999987</v>
      </c>
      <c r="BW32" s="2"/>
      <c r="IM32" s="46"/>
      <c r="IN32" s="46"/>
      <c r="IO32" s="46"/>
      <c r="IP32" s="46"/>
      <c r="IQ32" s="46"/>
      <c r="IR32" s="46"/>
      <c r="IS32" s="46"/>
      <c r="IT32" s="46"/>
    </row>
    <row r="33" spans="1:254" s="17" customFormat="1" ht="12.75" customHeight="1" x14ac:dyDescent="0.2">
      <c r="A33" s="38" t="s">
        <v>31</v>
      </c>
      <c r="B33" s="38">
        <v>11800000</v>
      </c>
      <c r="C33" s="39"/>
      <c r="D33" s="40"/>
      <c r="E33" s="39"/>
      <c r="F33" s="39"/>
      <c r="G33" s="39"/>
      <c r="H33" s="39"/>
      <c r="I33" s="39"/>
      <c r="J33" s="39"/>
      <c r="K33" s="39"/>
      <c r="L33" s="39"/>
      <c r="M33" s="40">
        <f>SUM(G33+L33)</f>
        <v>0</v>
      </c>
      <c r="N33" s="41"/>
      <c r="O33" s="41"/>
      <c r="P33" s="39"/>
      <c r="Q33" s="39"/>
      <c r="R33" s="39"/>
      <c r="S33" s="42"/>
      <c r="T33" s="42"/>
      <c r="U33" s="39"/>
      <c r="V33" s="39">
        <v>800000</v>
      </c>
      <c r="W33" s="39"/>
      <c r="X33" s="40">
        <f>R33+V33</f>
        <v>800000</v>
      </c>
      <c r="Y33" s="43">
        <f>M33+X33</f>
        <v>800000</v>
      </c>
      <c r="Z33" s="43"/>
      <c r="AA33" s="43"/>
      <c r="AB33" s="43"/>
      <c r="AC33" s="43"/>
      <c r="AD33" s="43"/>
      <c r="AE33" s="44"/>
      <c r="AF33" s="44"/>
      <c r="AG33" s="43"/>
      <c r="AH33" s="43"/>
      <c r="AI33" s="43"/>
      <c r="AJ33" s="45">
        <f>AC33+AH33</f>
        <v>0</v>
      </c>
      <c r="AK33" s="43">
        <f>Y33+AJ33</f>
        <v>800000</v>
      </c>
      <c r="AL33" s="44"/>
      <c r="AM33" s="43"/>
      <c r="AN33" s="43"/>
      <c r="AO33" s="43"/>
      <c r="AP33" s="43">
        <f>AO33</f>
        <v>0</v>
      </c>
      <c r="AQ33" s="44"/>
      <c r="AR33" s="44"/>
      <c r="AS33" s="43"/>
      <c r="AT33" s="43"/>
      <c r="AU33" s="43">
        <f>AI33-AT33</f>
        <v>0</v>
      </c>
      <c r="AV33" s="40">
        <f>SUM(AO33+AT33)</f>
        <v>0</v>
      </c>
      <c r="AW33" s="44">
        <f>AK33+AV33</f>
        <v>800000</v>
      </c>
      <c r="AX33" s="44"/>
      <c r="AY33" s="44"/>
      <c r="AZ33" s="43"/>
      <c r="BA33" s="43"/>
      <c r="BB33" s="43">
        <f>BA33</f>
        <v>0</v>
      </c>
      <c r="BC33" s="44"/>
      <c r="BD33" s="44"/>
      <c r="BE33" s="43"/>
      <c r="BF33" s="43"/>
      <c r="BG33" s="43">
        <f>BF33</f>
        <v>0</v>
      </c>
      <c r="BH33" s="45">
        <f>BB33+BG33</f>
        <v>0</v>
      </c>
      <c r="BI33" s="44"/>
      <c r="BJ33" s="44"/>
      <c r="BK33" s="44"/>
      <c r="BL33" s="43">
        <v>0</v>
      </c>
      <c r="BM33" s="43"/>
      <c r="BN33" s="44"/>
      <c r="BO33" s="44"/>
      <c r="BP33" s="44"/>
      <c r="BQ33" s="43">
        <v>0</v>
      </c>
      <c r="BR33" s="43"/>
      <c r="BS33" s="44"/>
      <c r="BT33" s="45">
        <f>B33-M33-X33-AJ33-AV33-BH33-BJ33-BL33</f>
        <v>11000000</v>
      </c>
      <c r="BU33" s="16"/>
      <c r="BV33" s="19"/>
      <c r="BW33" s="2"/>
      <c r="IM33" s="3"/>
      <c r="IN33" s="3"/>
      <c r="IO33" s="3"/>
      <c r="IP33" s="3"/>
      <c r="IQ33" s="3"/>
      <c r="IR33" s="3"/>
      <c r="IS33" s="3"/>
      <c r="IT33" s="3"/>
    </row>
    <row r="34" spans="1:254" s="17" customFormat="1" ht="12.75" customHeight="1" x14ac:dyDescent="0.2">
      <c r="D34" s="18"/>
      <c r="E34" s="18"/>
      <c r="F34" s="18"/>
      <c r="G34" s="24"/>
      <c r="H34" s="24"/>
      <c r="I34" s="24"/>
      <c r="J34" s="18"/>
      <c r="K34" s="18"/>
      <c r="L34" s="24"/>
      <c r="M34" s="16"/>
      <c r="N34" s="16"/>
      <c r="O34" s="16"/>
      <c r="P34" s="18"/>
      <c r="Q34" s="18"/>
      <c r="R34" s="24"/>
      <c r="S34" s="24"/>
      <c r="T34" s="24"/>
      <c r="U34" s="24"/>
      <c r="V34" s="24"/>
      <c r="W34" s="24"/>
      <c r="X34" s="16"/>
      <c r="Y34" s="24"/>
      <c r="Z34" s="24"/>
      <c r="AA34" s="24"/>
      <c r="AB34" s="24"/>
      <c r="AC34" s="24"/>
      <c r="AD34" s="18"/>
      <c r="AE34" s="24"/>
      <c r="AF34" s="24"/>
      <c r="AG34" s="24"/>
      <c r="AH34" s="18"/>
      <c r="AI34" s="18"/>
      <c r="AJ34" s="21"/>
      <c r="AK34" s="18"/>
      <c r="AL34" s="24"/>
      <c r="AM34" s="24"/>
      <c r="AN34" s="24"/>
      <c r="AO34" s="18"/>
      <c r="AP34" s="18"/>
      <c r="AQ34" s="24"/>
      <c r="AR34" s="24"/>
      <c r="AS34" s="24"/>
      <c r="AT34" s="18"/>
      <c r="AU34" s="18"/>
      <c r="AV34" s="21"/>
      <c r="AW34" s="18"/>
      <c r="AX34" s="24"/>
      <c r="AY34" s="24"/>
      <c r="AZ34" s="24"/>
      <c r="BA34" s="18"/>
      <c r="BB34" s="18"/>
      <c r="BC34" s="24"/>
      <c r="BD34" s="24"/>
      <c r="BE34" s="24"/>
      <c r="BF34" s="18"/>
      <c r="BG34" s="18"/>
      <c r="BH34" s="21"/>
      <c r="BI34" s="18"/>
      <c r="BJ34" s="24"/>
      <c r="BK34" s="24"/>
      <c r="BL34" s="24"/>
      <c r="BM34" s="18"/>
      <c r="BN34" s="18"/>
      <c r="BO34" s="24"/>
      <c r="BP34" s="24"/>
      <c r="BQ34" s="24"/>
      <c r="BR34" s="18"/>
      <c r="BS34" s="18"/>
      <c r="BT34" s="24"/>
      <c r="BU34" s="18"/>
      <c r="BV34" s="16"/>
      <c r="IM34" s="3"/>
      <c r="IN34" s="3"/>
      <c r="IO34" s="3"/>
      <c r="IP34" s="3"/>
      <c r="IQ34" s="3"/>
      <c r="IR34" s="3"/>
      <c r="IS34" s="3"/>
      <c r="IT34" s="3"/>
    </row>
    <row r="35" spans="1:254" s="2" customFormat="1" ht="12.75" customHeight="1" x14ac:dyDescent="0.2">
      <c r="A35" s="57" t="s">
        <v>32</v>
      </c>
      <c r="B35" s="57"/>
      <c r="C35" s="55" t="s">
        <v>2</v>
      </c>
      <c r="D35" s="55"/>
      <c r="E35" s="55"/>
      <c r="F35" s="55"/>
      <c r="G35" s="34"/>
      <c r="H35" s="55" t="s">
        <v>3</v>
      </c>
      <c r="I35" s="55"/>
      <c r="J35" s="55"/>
      <c r="K35" s="55"/>
      <c r="L35" s="55"/>
      <c r="M35" s="56" t="s">
        <v>4</v>
      </c>
      <c r="N35" s="55" t="s">
        <v>5</v>
      </c>
      <c r="O35" s="55"/>
      <c r="P35" s="55"/>
      <c r="Q35" s="55"/>
      <c r="R35" s="55"/>
      <c r="S35" s="55" t="s">
        <v>6</v>
      </c>
      <c r="T35" s="55"/>
      <c r="U35" s="55"/>
      <c r="V35" s="55"/>
      <c r="W35" s="55"/>
      <c r="X35" s="56" t="s">
        <v>7</v>
      </c>
      <c r="Y35" s="56" t="s">
        <v>8</v>
      </c>
      <c r="Z35" s="55" t="s">
        <v>9</v>
      </c>
      <c r="AA35" s="55"/>
      <c r="AB35" s="55"/>
      <c r="AC35" s="55"/>
      <c r="AD35" s="55"/>
      <c r="AE35" s="55" t="s">
        <v>10</v>
      </c>
      <c r="AF35" s="55"/>
      <c r="AG35" s="55"/>
      <c r="AH35" s="55"/>
      <c r="AI35" s="55"/>
      <c r="AJ35" s="56" t="s">
        <v>11</v>
      </c>
      <c r="AK35" s="56" t="s">
        <v>8</v>
      </c>
      <c r="AL35" s="55" t="s">
        <v>12</v>
      </c>
      <c r="AM35" s="55"/>
      <c r="AN35" s="55"/>
      <c r="AO35" s="55"/>
      <c r="AP35" s="55"/>
      <c r="AQ35" s="55" t="s">
        <v>13</v>
      </c>
      <c r="AR35" s="55"/>
      <c r="AS35" s="55"/>
      <c r="AT35" s="55"/>
      <c r="AU35" s="55"/>
      <c r="AV35" s="56" t="s">
        <v>14</v>
      </c>
      <c r="AW35" s="56" t="s">
        <v>8</v>
      </c>
      <c r="AX35" s="55" t="s">
        <v>15</v>
      </c>
      <c r="AY35" s="55"/>
      <c r="AZ35" s="55"/>
      <c r="BA35" s="55"/>
      <c r="BB35" s="55"/>
      <c r="BC35" s="55" t="s">
        <v>16</v>
      </c>
      <c r="BD35" s="55"/>
      <c r="BE35" s="55"/>
      <c r="BF35" s="55"/>
      <c r="BG35" s="55"/>
      <c r="BH35" s="56" t="s">
        <v>17</v>
      </c>
      <c r="BI35" s="56" t="s">
        <v>8</v>
      </c>
      <c r="BJ35" s="55" t="s">
        <v>18</v>
      </c>
      <c r="BK35" s="55"/>
      <c r="BL35" s="55"/>
      <c r="BM35" s="55"/>
      <c r="BN35" s="55"/>
      <c r="BO35" s="55" t="s">
        <v>19</v>
      </c>
      <c r="BP35" s="55"/>
      <c r="BQ35" s="55"/>
      <c r="BR35" s="55"/>
      <c r="BS35" s="55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7"/>
      <c r="B36" s="57"/>
      <c r="C36" s="55" t="s">
        <v>21</v>
      </c>
      <c r="D36" s="55"/>
      <c r="E36" s="55" t="s">
        <v>22</v>
      </c>
      <c r="F36" s="55"/>
      <c r="G36" s="55" t="s">
        <v>23</v>
      </c>
      <c r="H36" s="55" t="s">
        <v>21</v>
      </c>
      <c r="I36" s="55"/>
      <c r="J36" s="55" t="s">
        <v>22</v>
      </c>
      <c r="K36" s="55"/>
      <c r="L36" s="55" t="s">
        <v>23</v>
      </c>
      <c r="M36" s="56"/>
      <c r="N36" s="55" t="s">
        <v>21</v>
      </c>
      <c r="O36" s="55"/>
      <c r="P36" s="55" t="s">
        <v>22</v>
      </c>
      <c r="Q36" s="55"/>
      <c r="R36" s="55" t="s">
        <v>23</v>
      </c>
      <c r="S36" s="55" t="s">
        <v>21</v>
      </c>
      <c r="T36" s="55"/>
      <c r="U36" s="55" t="s">
        <v>22</v>
      </c>
      <c r="V36" s="55"/>
      <c r="W36" s="55" t="s">
        <v>23</v>
      </c>
      <c r="X36" s="56"/>
      <c r="Y36" s="56"/>
      <c r="Z36" s="55" t="s">
        <v>21</v>
      </c>
      <c r="AA36" s="55"/>
      <c r="AB36" s="55" t="s">
        <v>22</v>
      </c>
      <c r="AC36" s="55"/>
      <c r="AD36" s="55" t="s">
        <v>23</v>
      </c>
      <c r="AE36" s="55" t="s">
        <v>21</v>
      </c>
      <c r="AF36" s="55"/>
      <c r="AG36" s="55" t="s">
        <v>22</v>
      </c>
      <c r="AH36" s="55"/>
      <c r="AI36" s="55" t="s">
        <v>23</v>
      </c>
      <c r="AJ36" s="56"/>
      <c r="AK36" s="56"/>
      <c r="AL36" s="55" t="s">
        <v>21</v>
      </c>
      <c r="AM36" s="55"/>
      <c r="AN36" s="55" t="s">
        <v>22</v>
      </c>
      <c r="AO36" s="55"/>
      <c r="AP36" s="55" t="s">
        <v>23</v>
      </c>
      <c r="AQ36" s="55" t="s">
        <v>21</v>
      </c>
      <c r="AR36" s="55"/>
      <c r="AS36" s="55" t="s">
        <v>22</v>
      </c>
      <c r="AT36" s="55"/>
      <c r="AU36" s="55" t="s">
        <v>23</v>
      </c>
      <c r="AV36" s="56"/>
      <c r="AW36" s="56"/>
      <c r="AX36" s="55" t="s">
        <v>21</v>
      </c>
      <c r="AY36" s="55"/>
      <c r="AZ36" s="55" t="s">
        <v>22</v>
      </c>
      <c r="BA36" s="55"/>
      <c r="BB36" s="55" t="s">
        <v>23</v>
      </c>
      <c r="BC36" s="55" t="s">
        <v>21</v>
      </c>
      <c r="BD36" s="55"/>
      <c r="BE36" s="55" t="s">
        <v>22</v>
      </c>
      <c r="BF36" s="55"/>
      <c r="BG36" s="55" t="s">
        <v>23</v>
      </c>
      <c r="BH36" s="56"/>
      <c r="BI36" s="56"/>
      <c r="BJ36" s="55" t="s">
        <v>21</v>
      </c>
      <c r="BK36" s="55"/>
      <c r="BL36" s="55" t="s">
        <v>22</v>
      </c>
      <c r="BM36" s="55"/>
      <c r="BN36" s="55"/>
      <c r="BO36" s="55" t="s">
        <v>21</v>
      </c>
      <c r="BP36" s="55"/>
      <c r="BQ36" s="55" t="s">
        <v>22</v>
      </c>
      <c r="BR36" s="55"/>
      <c r="BS36" s="55"/>
      <c r="BT36" s="55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7"/>
      <c r="B37" s="57"/>
      <c r="C37" s="34" t="s">
        <v>24</v>
      </c>
      <c r="D37" s="34" t="s">
        <v>25</v>
      </c>
      <c r="E37" s="34" t="s">
        <v>24</v>
      </c>
      <c r="F37" s="34" t="s">
        <v>25</v>
      </c>
      <c r="G37" s="55"/>
      <c r="H37" s="34" t="s">
        <v>24</v>
      </c>
      <c r="I37" s="34" t="s">
        <v>25</v>
      </c>
      <c r="J37" s="34" t="s">
        <v>24</v>
      </c>
      <c r="K37" s="34" t="s">
        <v>25</v>
      </c>
      <c r="L37" s="55"/>
      <c r="M37" s="56"/>
      <c r="N37" s="34" t="s">
        <v>24</v>
      </c>
      <c r="O37" s="34" t="s">
        <v>25</v>
      </c>
      <c r="P37" s="34" t="s">
        <v>24</v>
      </c>
      <c r="Q37" s="34" t="s">
        <v>25</v>
      </c>
      <c r="R37" s="55"/>
      <c r="S37" s="34" t="s">
        <v>24</v>
      </c>
      <c r="T37" s="34" t="s">
        <v>25</v>
      </c>
      <c r="U37" s="34" t="s">
        <v>24</v>
      </c>
      <c r="V37" s="34" t="s">
        <v>25</v>
      </c>
      <c r="W37" s="55"/>
      <c r="X37" s="56"/>
      <c r="Y37" s="56"/>
      <c r="Z37" s="34" t="s">
        <v>24</v>
      </c>
      <c r="AA37" s="34" t="s">
        <v>25</v>
      </c>
      <c r="AB37" s="34" t="s">
        <v>24</v>
      </c>
      <c r="AC37" s="34" t="s">
        <v>25</v>
      </c>
      <c r="AD37" s="55"/>
      <c r="AE37" s="34" t="s">
        <v>24</v>
      </c>
      <c r="AF37" s="34" t="s">
        <v>25</v>
      </c>
      <c r="AG37" s="34" t="s">
        <v>24</v>
      </c>
      <c r="AH37" s="34" t="s">
        <v>25</v>
      </c>
      <c r="AI37" s="55"/>
      <c r="AJ37" s="56"/>
      <c r="AK37" s="56"/>
      <c r="AL37" s="34" t="s">
        <v>24</v>
      </c>
      <c r="AM37" s="34" t="s">
        <v>25</v>
      </c>
      <c r="AN37" s="34" t="s">
        <v>24</v>
      </c>
      <c r="AO37" s="34" t="s">
        <v>25</v>
      </c>
      <c r="AP37" s="55"/>
      <c r="AQ37" s="34" t="s">
        <v>24</v>
      </c>
      <c r="AR37" s="34" t="s">
        <v>25</v>
      </c>
      <c r="AS37" s="34" t="s">
        <v>24</v>
      </c>
      <c r="AT37" s="34" t="s">
        <v>25</v>
      </c>
      <c r="AU37" s="55"/>
      <c r="AV37" s="56"/>
      <c r="AW37" s="56"/>
      <c r="AX37" s="34" t="s">
        <v>24</v>
      </c>
      <c r="AY37" s="34" t="s">
        <v>25</v>
      </c>
      <c r="AZ37" s="34" t="s">
        <v>24</v>
      </c>
      <c r="BA37" s="34" t="s">
        <v>25</v>
      </c>
      <c r="BB37" s="55"/>
      <c r="BC37" s="34" t="s">
        <v>24</v>
      </c>
      <c r="BD37" s="34" t="s">
        <v>25</v>
      </c>
      <c r="BE37" s="34" t="s">
        <v>24</v>
      </c>
      <c r="BF37" s="34" t="s">
        <v>25</v>
      </c>
      <c r="BG37" s="55"/>
      <c r="BH37" s="56"/>
      <c r="BI37" s="56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5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33</v>
      </c>
      <c r="B38" s="9">
        <v>242101000</v>
      </c>
      <c r="C38" s="8"/>
      <c r="D38" s="8"/>
      <c r="E38" s="8">
        <v>35200000</v>
      </c>
      <c r="F38" s="8">
        <v>36019388.649999999</v>
      </c>
      <c r="G38" s="8">
        <f>F38-E38</f>
        <v>819388.64999999851</v>
      </c>
      <c r="H38" s="10"/>
      <c r="I38" s="10"/>
      <c r="J38" s="8">
        <f>17283000-G38</f>
        <v>16463611.350000001</v>
      </c>
      <c r="K38" s="8">
        <v>16733309.869999999</v>
      </c>
      <c r="L38" s="8">
        <f>K38-J38</f>
        <v>269698.51999999769</v>
      </c>
      <c r="M38" s="8">
        <f>F38+K38</f>
        <v>52752698.519999996</v>
      </c>
      <c r="N38" s="11"/>
      <c r="O38" s="11"/>
      <c r="P38" s="8">
        <f>17350000-L38</f>
        <v>17080301.480000004</v>
      </c>
      <c r="Q38" s="8">
        <v>17729061.609999999</v>
      </c>
      <c r="R38" s="8">
        <f>Q38-P38</f>
        <v>648760.12999999523</v>
      </c>
      <c r="S38" s="10"/>
      <c r="T38" s="10"/>
      <c r="U38" s="8">
        <v>21540000</v>
      </c>
      <c r="V38" s="8">
        <v>22279453.789999999</v>
      </c>
      <c r="W38" s="8">
        <f>V38-U38</f>
        <v>739453.78999999911</v>
      </c>
      <c r="X38" s="8">
        <f>Q38+V38</f>
        <v>40008515.399999999</v>
      </c>
      <c r="Y38" s="9">
        <f>M38+X38</f>
        <v>92761213.919999987</v>
      </c>
      <c r="Z38" s="8"/>
      <c r="AA38" s="8"/>
      <c r="AB38" s="8">
        <f>20315000-W38</f>
        <v>19575546.210000001</v>
      </c>
      <c r="AC38" s="8"/>
      <c r="AD38" s="8">
        <f>AC38-AB38</f>
        <v>-19575546.210000001</v>
      </c>
      <c r="AE38" s="10"/>
      <c r="AF38" s="10"/>
      <c r="AG38" s="8">
        <v>17210000</v>
      </c>
      <c r="AH38" s="8"/>
      <c r="AI38" s="8">
        <f>AH38-AG38</f>
        <v>-17210000</v>
      </c>
      <c r="AJ38" s="8">
        <f>AB38+AG38</f>
        <v>36785546.210000001</v>
      </c>
      <c r="AK38" s="8">
        <f>Y38+AJ38</f>
        <v>129546760.13</v>
      </c>
      <c r="AL38" s="10"/>
      <c r="AM38" s="10"/>
      <c r="AN38" s="8">
        <v>16800000</v>
      </c>
      <c r="AO38" s="8"/>
      <c r="AP38" s="8">
        <f>AO38-AN38</f>
        <v>-16800000</v>
      </c>
      <c r="AQ38" s="10"/>
      <c r="AR38" s="10"/>
      <c r="AS38" s="8">
        <v>17450000</v>
      </c>
      <c r="AT38" s="8"/>
      <c r="AU38" s="8">
        <f>AT38-AS38</f>
        <v>-17450000</v>
      </c>
      <c r="AV38" s="8">
        <f>AN38+AS38</f>
        <v>34250000</v>
      </c>
      <c r="AW38" s="10">
        <f>AK38+AV38</f>
        <v>163796760.13</v>
      </c>
      <c r="AX38" s="10"/>
      <c r="AY38" s="10"/>
      <c r="AZ38" s="8">
        <v>16700000</v>
      </c>
      <c r="BA38" s="8"/>
      <c r="BB38" s="8">
        <f>BA38-AZ38</f>
        <v>-16700000</v>
      </c>
      <c r="BC38" s="8"/>
      <c r="BD38" s="8"/>
      <c r="BE38" s="8">
        <v>17083000</v>
      </c>
      <c r="BF38" s="8"/>
      <c r="BG38" s="8">
        <f>BF38-BE38</f>
        <v>-17083000</v>
      </c>
      <c r="BH38" s="8">
        <f>AZ38+BE38</f>
        <v>33783000</v>
      </c>
      <c r="BI38" s="8">
        <f>AW38+BH38</f>
        <v>197579760.13</v>
      </c>
      <c r="BJ38" s="10"/>
      <c r="BK38" s="10"/>
      <c r="BL38" s="8">
        <v>18340000</v>
      </c>
      <c r="BM38" s="8"/>
      <c r="BN38" s="10"/>
      <c r="BO38" s="8"/>
      <c r="BP38" s="10"/>
      <c r="BQ38" s="8">
        <v>26830000</v>
      </c>
      <c r="BR38" s="8"/>
      <c r="BS38" s="10"/>
      <c r="BT38" s="8">
        <f>SUM(M38+X38+AJ38+AV38+BH38+BL38+BQ38)</f>
        <v>242749760.13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2.75" customHeight="1" x14ac:dyDescent="0.2">
      <c r="A39" s="14" t="s">
        <v>34</v>
      </c>
      <c r="B39" s="9">
        <f>B38</f>
        <v>242101000</v>
      </c>
      <c r="C39" s="8">
        <f>C32-C48</f>
        <v>3102000</v>
      </c>
      <c r="D39" s="8">
        <f>D32-D48</f>
        <v>3039002.9600000004</v>
      </c>
      <c r="E39" s="8">
        <v>15550000</v>
      </c>
      <c r="F39" s="8">
        <v>13262081.310000001</v>
      </c>
      <c r="G39" s="8">
        <f>C39-D39+E39-F39</f>
        <v>2350915.7299999986</v>
      </c>
      <c r="H39" s="8">
        <f>H57-H48</f>
        <v>2862384.6799999997</v>
      </c>
      <c r="I39" s="8">
        <f>I32-I48</f>
        <v>2702758.22</v>
      </c>
      <c r="J39" s="8">
        <f>16530000+G39</f>
        <v>18880915.729999997</v>
      </c>
      <c r="K39" s="8">
        <v>16392752.6</v>
      </c>
      <c r="L39" s="8">
        <f>SUM(H39-I39,J39-K39)</f>
        <v>2647789.5899999966</v>
      </c>
      <c r="M39" s="8">
        <f>D39+F39+I39+K39</f>
        <v>35396595.090000004</v>
      </c>
      <c r="N39" s="8">
        <f>N57-N48</f>
        <v>2979014.0999999996</v>
      </c>
      <c r="O39" s="8">
        <f>O57-O48</f>
        <v>2696387.9299999997</v>
      </c>
      <c r="P39" s="8">
        <v>17340000</v>
      </c>
      <c r="Q39" s="8">
        <v>15493025.6</v>
      </c>
      <c r="R39" s="8">
        <f>SUM(N39-O39,P39-Q39)</f>
        <v>2129600.5700000003</v>
      </c>
      <c r="S39" s="8">
        <f>S57-S48</f>
        <v>3004675.9499999997</v>
      </c>
      <c r="T39" s="8">
        <f>T32-T48</f>
        <v>2396680.2800000003</v>
      </c>
      <c r="U39" s="8">
        <v>17240000</v>
      </c>
      <c r="V39" s="8">
        <v>14823980.560000001</v>
      </c>
      <c r="W39" s="8">
        <f>SUM(S39-T39,U39-V39)</f>
        <v>3024015.1099999989</v>
      </c>
      <c r="X39" s="8">
        <f>O39+Q39+T39+V39</f>
        <v>35410074.370000005</v>
      </c>
      <c r="Y39" s="9">
        <f>M39+X39</f>
        <v>70806669.460000008</v>
      </c>
      <c r="Z39" s="8">
        <f>Z57-Z48</f>
        <v>3035156.6999999997</v>
      </c>
      <c r="AA39" s="8">
        <f>AA57-AA48</f>
        <v>0</v>
      </c>
      <c r="AB39" s="8">
        <v>17120000</v>
      </c>
      <c r="AC39" s="8"/>
      <c r="AD39" s="8">
        <f>Z39-AA39+AB39-AC39</f>
        <v>20155156.699999999</v>
      </c>
      <c r="AE39" s="8">
        <f>AE57-AE48</f>
        <v>2380000</v>
      </c>
      <c r="AF39" s="8">
        <f>AF57-AF48</f>
        <v>0</v>
      </c>
      <c r="AG39" s="8">
        <v>17050000</v>
      </c>
      <c r="AH39" s="8"/>
      <c r="AI39" s="8">
        <f>AE39-AF39+AG39-AH39</f>
        <v>19430000</v>
      </c>
      <c r="AJ39" s="8">
        <f>Z39+AB39+AE39+AG39</f>
        <v>39585156.700000003</v>
      </c>
      <c r="AK39" s="8">
        <f>Y39+AJ39</f>
        <v>110391826.16000001</v>
      </c>
      <c r="AL39" s="8">
        <f>AL57-AL48</f>
        <v>2380000</v>
      </c>
      <c r="AM39" s="8">
        <f>AM57-AM48</f>
        <v>0</v>
      </c>
      <c r="AN39" s="8">
        <v>17140000</v>
      </c>
      <c r="AO39" s="8"/>
      <c r="AP39" s="8">
        <f>AL39-AM39+AN39-AO39</f>
        <v>19520000</v>
      </c>
      <c r="AQ39" s="8">
        <f>AQ57-AQ48</f>
        <v>2380000</v>
      </c>
      <c r="AR39" s="8">
        <f>AR57-AR48</f>
        <v>0</v>
      </c>
      <c r="AS39" s="8">
        <v>17240000</v>
      </c>
      <c r="AT39" s="8"/>
      <c r="AU39" s="8">
        <f>AQ39-AR39+AS39-AT39</f>
        <v>19620000</v>
      </c>
      <c r="AV39" s="8">
        <f>AL39+AN39+AQ39+AS39</f>
        <v>39140000</v>
      </c>
      <c r="AW39" s="9">
        <f>AK39+AV39</f>
        <v>149531826.16000003</v>
      </c>
      <c r="AX39" s="8">
        <f>AX57-AX48</f>
        <v>2280000</v>
      </c>
      <c r="AY39" s="8">
        <f>AY57-AY48</f>
        <v>0</v>
      </c>
      <c r="AZ39" s="8">
        <v>17340000</v>
      </c>
      <c r="BA39" s="8"/>
      <c r="BB39" s="8">
        <f>AX39-AY39+AZ39-BA39</f>
        <v>19620000</v>
      </c>
      <c r="BC39" s="8">
        <f>BC57-BC48</f>
        <v>2180000</v>
      </c>
      <c r="BD39" s="8">
        <f>BD57-BD48</f>
        <v>0</v>
      </c>
      <c r="BE39" s="8">
        <v>15730000</v>
      </c>
      <c r="BF39" s="8"/>
      <c r="BG39" s="8">
        <f>BC39-BD39+BE39-BF39</f>
        <v>17910000</v>
      </c>
      <c r="BH39" s="8">
        <f>AX39+AZ39+BC39+BE39</f>
        <v>37530000</v>
      </c>
      <c r="BI39" s="9">
        <f>AW39+BH39</f>
        <v>187061826.16000003</v>
      </c>
      <c r="BJ39" s="8">
        <f>BJ57-BJ48</f>
        <v>2058000</v>
      </c>
      <c r="BK39" s="9"/>
      <c r="BL39" s="8">
        <v>15830000</v>
      </c>
      <c r="BM39" s="9"/>
      <c r="BN39" s="9">
        <f>BM32</f>
        <v>0</v>
      </c>
      <c r="BO39" s="8">
        <f>BO57-BO48</f>
        <v>2377800</v>
      </c>
      <c r="BP39" s="9"/>
      <c r="BQ39" s="8">
        <v>28253200</v>
      </c>
      <c r="BR39" s="9"/>
      <c r="BS39" s="9">
        <f>BR32</f>
        <v>0</v>
      </c>
      <c r="BT39" s="8">
        <f>SUM(M39+X39+AJ39+AV39+BH39+BJ39+BL39+BO39+BQ39)</f>
        <v>235580826.16000003</v>
      </c>
      <c r="BU39" s="8">
        <f>BS32-BS33</f>
        <v>0</v>
      </c>
      <c r="BV39" s="8">
        <f>BT32-BT33</f>
        <v>565281014.52000022</v>
      </c>
      <c r="IP39" s="3"/>
      <c r="IQ39" s="3"/>
      <c r="IR39" s="3"/>
      <c r="IS39" s="3"/>
      <c r="IT39" s="3"/>
    </row>
    <row r="40" spans="1:254" s="24" customFormat="1" ht="15.75" customHeight="1" x14ac:dyDescent="0.2">
      <c r="A40" s="14" t="s">
        <v>61</v>
      </c>
      <c r="B40" s="9"/>
      <c r="C40" s="8"/>
      <c r="D40" s="8"/>
      <c r="E40" s="8">
        <f>E38-C39-E39</f>
        <v>16548000</v>
      </c>
      <c r="F40" s="8">
        <f>F38-D39-F39</f>
        <v>19718304.379999995</v>
      </c>
      <c r="G40" s="8"/>
      <c r="H40" s="8"/>
      <c r="I40" s="8"/>
      <c r="J40" s="8">
        <f>J38-H39-J39</f>
        <v>-5279689.0599999949</v>
      </c>
      <c r="K40" s="8">
        <f>K38-I39-K39</f>
        <v>-2362200.9500000011</v>
      </c>
      <c r="L40" s="8"/>
      <c r="M40" s="8">
        <f>M38-M39</f>
        <v>17356103.429999992</v>
      </c>
      <c r="N40" s="8"/>
      <c r="O40" s="8"/>
      <c r="P40" s="8">
        <f>P38-N39-P39</f>
        <v>-3238712.6199999955</v>
      </c>
      <c r="Q40" s="8">
        <f>Q38-O39-Q39</f>
        <v>-460351.91999999993</v>
      </c>
      <c r="R40" s="8"/>
      <c r="S40" s="8"/>
      <c r="T40" s="8"/>
      <c r="U40" s="8">
        <f>U38-S39-U39</f>
        <v>1295324.0500000007</v>
      </c>
      <c r="V40" s="8">
        <f>V38-T39-V39</f>
        <v>5058792.9499999974</v>
      </c>
      <c r="W40" s="9"/>
      <c r="X40" s="8">
        <f>X38-X39</f>
        <v>4598441.0299999937</v>
      </c>
      <c r="Y40" s="9"/>
      <c r="Z40" s="8"/>
      <c r="AA40" s="8"/>
      <c r="AB40" s="8">
        <f>AB38-Z39-AB39</f>
        <v>-579610.48999999836</v>
      </c>
      <c r="AC40" s="8">
        <f>V41</f>
        <v>29427612.199999988</v>
      </c>
      <c r="AD40" s="8"/>
      <c r="AE40" s="8"/>
      <c r="AF40" s="8"/>
      <c r="AG40" s="8">
        <f>AG38-AE39-AG39</f>
        <v>-2220000</v>
      </c>
      <c r="AH40" s="8">
        <f>AC41</f>
        <v>29427612.199999988</v>
      </c>
      <c r="AI40" s="8"/>
      <c r="AJ40" s="8">
        <f>AJ38-AJ39</f>
        <v>-2799610.4900000021</v>
      </c>
      <c r="AK40" s="8"/>
      <c r="AL40" s="8"/>
      <c r="AM40" s="8"/>
      <c r="AN40" s="8">
        <f>AN38-AL39-AN39</f>
        <v>-2720000</v>
      </c>
      <c r="AO40" s="8">
        <f>AH41</f>
        <v>29427612.199999988</v>
      </c>
      <c r="AP40" s="8"/>
      <c r="AQ40" s="8"/>
      <c r="AR40" s="8"/>
      <c r="AS40" s="8">
        <f>AS38-AQ39-AS39</f>
        <v>-2170000</v>
      </c>
      <c r="AT40" s="8">
        <f>AO41</f>
        <v>29427612.199999988</v>
      </c>
      <c r="AU40" s="8"/>
      <c r="AV40" s="8">
        <f>AV38-AV39</f>
        <v>-4890000</v>
      </c>
      <c r="AW40" s="9"/>
      <c r="AX40" s="8"/>
      <c r="AY40" s="8"/>
      <c r="AZ40" s="8">
        <f>AZ38-AX39-AZ39</f>
        <v>-2920000</v>
      </c>
      <c r="BA40" s="8">
        <f>AT41</f>
        <v>29427612.199999988</v>
      </c>
      <c r="BB40" s="8"/>
      <c r="BC40" s="8"/>
      <c r="BD40" s="8"/>
      <c r="BE40" s="8">
        <f>BE38-BC39-BE39</f>
        <v>-827000</v>
      </c>
      <c r="BF40" s="8">
        <f>BA41</f>
        <v>29427612.199999988</v>
      </c>
      <c r="BG40" s="8"/>
      <c r="BH40" s="8">
        <f>BH38-BH39</f>
        <v>-3747000</v>
      </c>
      <c r="BI40" s="9"/>
      <c r="BJ40" s="8"/>
      <c r="BK40" s="9"/>
      <c r="BL40" s="8">
        <f>BL38-BJ39-BL39</f>
        <v>452000</v>
      </c>
      <c r="BM40" s="8"/>
      <c r="BN40" s="8"/>
      <c r="BO40" s="8"/>
      <c r="BP40" s="8"/>
      <c r="BQ40" s="8">
        <f>BQ38-BO39-BQ39</f>
        <v>-3801000</v>
      </c>
      <c r="BR40" s="9"/>
      <c r="BS40" s="9"/>
      <c r="BT40" s="8">
        <f>BT38-BT39</f>
        <v>7168933.969999969</v>
      </c>
      <c r="BU40" s="8"/>
      <c r="BV40" s="8"/>
      <c r="IP40" s="3"/>
      <c r="IQ40" s="3"/>
      <c r="IR40" s="3"/>
      <c r="IS40" s="3"/>
      <c r="IT40" s="3"/>
    </row>
    <row r="41" spans="1:254" s="24" customFormat="1" ht="15.75" customHeight="1" x14ac:dyDescent="0.2">
      <c r="A41" s="14" t="s">
        <v>60</v>
      </c>
      <c r="B41" s="9">
        <f>B38-B39</f>
        <v>0</v>
      </c>
      <c r="C41" s="8"/>
      <c r="D41" s="8"/>
      <c r="E41" s="8">
        <f>B42+E40</f>
        <v>24021067.740000002</v>
      </c>
      <c r="F41" s="8">
        <f>F40+E42</f>
        <v>27191372.119999997</v>
      </c>
      <c r="G41" s="8"/>
      <c r="H41" s="8"/>
      <c r="I41" s="8"/>
      <c r="J41" s="8">
        <f>J40+F41</f>
        <v>21911683.060000002</v>
      </c>
      <c r="K41" s="8">
        <f>K40+F41</f>
        <v>24829171.169999994</v>
      </c>
      <c r="L41" s="8"/>
      <c r="M41" s="8">
        <f>M40+E42</f>
        <v>24829171.169999994</v>
      </c>
      <c r="N41" s="11"/>
      <c r="O41" s="11"/>
      <c r="P41" s="8">
        <f>P40+K41</f>
        <v>21590458.549999997</v>
      </c>
      <c r="Q41" s="8">
        <f>Q40+K41</f>
        <v>24368819.249999993</v>
      </c>
      <c r="R41" s="8"/>
      <c r="S41" s="8"/>
      <c r="T41" s="8"/>
      <c r="U41" s="8">
        <f>U40+P41</f>
        <v>22885782.599999998</v>
      </c>
      <c r="V41" s="8">
        <f>V40+Q41</f>
        <v>29427612.199999988</v>
      </c>
      <c r="W41" s="8"/>
      <c r="X41" s="8">
        <f>X40+M41</f>
        <v>29427612.199999988</v>
      </c>
      <c r="Y41" s="8" t="e">
        <f>Y38+Y39+#REF!</f>
        <v>#REF!</v>
      </c>
      <c r="Z41" s="8"/>
      <c r="AA41" s="8"/>
      <c r="AB41" s="8">
        <f>AB40+V41</f>
        <v>28848001.70999999</v>
      </c>
      <c r="AC41" s="8">
        <f>AC38+AC42-AA39-AC39+AC40</f>
        <v>29427612.199999988</v>
      </c>
      <c r="AD41" s="8"/>
      <c r="AE41" s="8"/>
      <c r="AF41" s="8"/>
      <c r="AG41" s="8">
        <f>AG40+AB41</f>
        <v>26628001.70999999</v>
      </c>
      <c r="AH41" s="8">
        <f>AH38+AH42-AF39-AH39+AH40</f>
        <v>29427612.199999988</v>
      </c>
      <c r="AI41" s="8"/>
      <c r="AJ41" s="8">
        <f>AJ40+X41</f>
        <v>26628001.709999986</v>
      </c>
      <c r="AK41" s="8" t="e">
        <f>AK38+AK39+#REF!-#REF!-#REF!-#REF!-#REF!</f>
        <v>#REF!</v>
      </c>
      <c r="AL41" s="8" t="s">
        <v>27</v>
      </c>
      <c r="AM41" s="8"/>
      <c r="AN41" s="8">
        <f>AN40+AG41</f>
        <v>23908001.70999999</v>
      </c>
      <c r="AO41" s="8">
        <f>AO38+AO42-AM39-AO39+AO40</f>
        <v>29427612.199999988</v>
      </c>
      <c r="AP41" s="8"/>
      <c r="AQ41" s="8"/>
      <c r="AR41" s="8"/>
      <c r="AS41" s="8">
        <f>AS40+AN41</f>
        <v>21738001.70999999</v>
      </c>
      <c r="AT41" s="8">
        <f>AT38+AT42-AR39-AT39+AT40</f>
        <v>29427612.199999988</v>
      </c>
      <c r="AU41" s="8"/>
      <c r="AV41" s="8">
        <f>AV40+AJ41</f>
        <v>21738001.709999986</v>
      </c>
      <c r="AW41" s="8" t="e">
        <f>AW38+AW39+#REF!-#REF!-#REF!-#REF!-#REF!</f>
        <v>#REF!</v>
      </c>
      <c r="AX41" s="8"/>
      <c r="AY41" s="8"/>
      <c r="AZ41" s="8">
        <f>AZ40+AS41</f>
        <v>18818001.70999999</v>
      </c>
      <c r="BA41" s="8">
        <f>BA38+BA42-AY39-BA39+BA40</f>
        <v>29427612.199999988</v>
      </c>
      <c r="BB41" s="8"/>
      <c r="BC41" s="8" t="s">
        <v>27</v>
      </c>
      <c r="BD41" s="8" t="s">
        <v>27</v>
      </c>
      <c r="BE41" s="8">
        <f>BE40+AZ41</f>
        <v>17991001.70999999</v>
      </c>
      <c r="BF41" s="8">
        <f>BF38+BF42-BD39-BF39+BF40</f>
        <v>29427612.199999988</v>
      </c>
      <c r="BG41" s="8"/>
      <c r="BH41" s="8">
        <f>BH40+AV41</f>
        <v>17991001.709999986</v>
      </c>
      <c r="BI41" s="8" t="e">
        <f>BI38+BI39+#REF!-#REF!-#REF!-#REF!-#REF!</f>
        <v>#REF!</v>
      </c>
      <c r="BJ41" s="8"/>
      <c r="BK41" s="8"/>
      <c r="BL41" s="8">
        <f>BL40+BE41</f>
        <v>18443001.70999999</v>
      </c>
      <c r="BM41" s="8">
        <f>BM38-SUM(BM39:BM40)</f>
        <v>0</v>
      </c>
      <c r="BN41" s="8">
        <f>BN38-SUM(BN39:BN40)</f>
        <v>0</v>
      </c>
      <c r="BO41" s="8"/>
      <c r="BP41" s="8"/>
      <c r="BQ41" s="8">
        <f>BQ40+BL41</f>
        <v>14642001.70999999</v>
      </c>
      <c r="BR41" s="8">
        <f>BR38-SUM(BR39:BR40)</f>
        <v>0</v>
      </c>
      <c r="BS41" s="8">
        <f>BS38-SUM(BS39:BS40)</f>
        <v>0</v>
      </c>
      <c r="BT41" s="8">
        <f>BT40+B42</f>
        <v>14642001.709999969</v>
      </c>
      <c r="BU41" s="8" t="e">
        <f>BU38-SUM(BV39:BV40)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59</v>
      </c>
      <c r="B42" s="49">
        <v>7473067.7400000002</v>
      </c>
      <c r="C42" s="50"/>
      <c r="D42" s="50"/>
      <c r="E42" s="50">
        <f>B42</f>
        <v>7473067.7400000002</v>
      </c>
      <c r="F42" s="50">
        <v>2913196.2</v>
      </c>
      <c r="G42" s="50">
        <f>E42-F42</f>
        <v>4559871.54</v>
      </c>
      <c r="H42" s="50"/>
      <c r="I42" s="50"/>
      <c r="J42" s="50">
        <f>G42</f>
        <v>4559871.54</v>
      </c>
      <c r="K42" s="50">
        <v>1030700</v>
      </c>
      <c r="L42" s="50">
        <f>J42-K42</f>
        <v>3529171.54</v>
      </c>
      <c r="M42" s="50">
        <f>F42+K42</f>
        <v>3943896.2</v>
      </c>
      <c r="N42" s="51"/>
      <c r="O42" s="51"/>
      <c r="P42" s="50"/>
      <c r="Q42" s="50"/>
      <c r="R42" s="50">
        <f>L42-Q42</f>
        <v>3529171.54</v>
      </c>
      <c r="S42" s="50"/>
      <c r="T42" s="50"/>
      <c r="U42" s="50"/>
      <c r="V42" s="50"/>
      <c r="W42" s="50">
        <f>U42-V42</f>
        <v>0</v>
      </c>
      <c r="X42" s="50">
        <f>Q42+V42</f>
        <v>0</v>
      </c>
      <c r="Y42" s="49"/>
      <c r="Z42" s="50"/>
      <c r="AA42" s="50"/>
      <c r="AB42" s="50">
        <f>W42</f>
        <v>0</v>
      </c>
      <c r="AC42" s="50"/>
      <c r="AD42" s="50">
        <f>W42-AC42</f>
        <v>0</v>
      </c>
      <c r="AE42" s="50"/>
      <c r="AF42" s="50"/>
      <c r="AG42" s="50">
        <f>AD42</f>
        <v>0</v>
      </c>
      <c r="AH42" s="50"/>
      <c r="AI42" s="50">
        <f>AD42-AH42</f>
        <v>0</v>
      </c>
      <c r="AJ42" s="50">
        <f>AC42+AH42</f>
        <v>0</v>
      </c>
      <c r="AK42" s="50"/>
      <c r="AL42" s="50"/>
      <c r="AM42" s="50"/>
      <c r="AN42" s="50">
        <f>AI42</f>
        <v>0</v>
      </c>
      <c r="AO42" s="50"/>
      <c r="AP42" s="50">
        <f>AI42-AO42</f>
        <v>0</v>
      </c>
      <c r="AQ42" s="50"/>
      <c r="AR42" s="50"/>
      <c r="AS42" s="50"/>
      <c r="AT42" s="50"/>
      <c r="AU42" s="50">
        <v>0</v>
      </c>
      <c r="AV42" s="50">
        <v>0</v>
      </c>
      <c r="AW42" s="50"/>
      <c r="AX42" s="50"/>
      <c r="AY42" s="50"/>
      <c r="AZ42" s="50">
        <f>AP42</f>
        <v>0</v>
      </c>
      <c r="BA42" s="50"/>
      <c r="BB42" s="50">
        <f>AZ42-BA42</f>
        <v>0</v>
      </c>
      <c r="BC42" s="50"/>
      <c r="BD42" s="50"/>
      <c r="BE42" s="50">
        <f>BB42</f>
        <v>0</v>
      </c>
      <c r="BF42" s="50"/>
      <c r="BG42" s="50">
        <f>BB42</f>
        <v>0</v>
      </c>
      <c r="BH42" s="50">
        <v>0</v>
      </c>
      <c r="BI42" s="50"/>
      <c r="BJ42" s="50"/>
      <c r="BK42" s="50"/>
      <c r="BL42" s="50">
        <f>BG42</f>
        <v>0</v>
      </c>
      <c r="BM42" s="50"/>
      <c r="BN42" s="50"/>
      <c r="BO42" s="50"/>
      <c r="BP42" s="50"/>
      <c r="BQ42" s="50"/>
      <c r="BR42" s="50"/>
      <c r="BS42" s="50"/>
      <c r="BT42" s="50"/>
      <c r="BU42" s="8"/>
      <c r="BV42" s="8"/>
      <c r="IP42" s="3"/>
      <c r="IQ42" s="3"/>
      <c r="IR42" s="3"/>
      <c r="IS42" s="3"/>
      <c r="IT42" s="3"/>
    </row>
    <row r="43" spans="1:254" ht="12.75" customHeight="1" x14ac:dyDescent="0.2">
      <c r="G43" s="24"/>
      <c r="H43" s="20"/>
      <c r="I43" s="20"/>
      <c r="K43" s="24"/>
      <c r="N43" s="19"/>
      <c r="O43" s="19"/>
      <c r="P43" s="24"/>
      <c r="Q43" s="16"/>
      <c r="R43" s="20"/>
      <c r="S43" s="20"/>
      <c r="T43" s="20"/>
      <c r="V43" s="24"/>
      <c r="W43" s="24"/>
      <c r="X43" s="24"/>
      <c r="AB43" s="16"/>
      <c r="AD43" s="20"/>
      <c r="AE43" s="20"/>
      <c r="AF43" s="20"/>
      <c r="AH43" s="24"/>
      <c r="AJ43" s="20"/>
      <c r="AK43" s="20"/>
      <c r="AL43" s="20"/>
      <c r="AN43" s="16"/>
      <c r="AO43" s="24"/>
      <c r="AR43" s="20"/>
      <c r="AT43" s="24"/>
      <c r="AV43" s="20"/>
      <c r="AW43" s="20"/>
      <c r="AX43" s="20"/>
      <c r="AZ43" s="24"/>
      <c r="BA43" s="24"/>
      <c r="BB43" s="24"/>
      <c r="BC43" s="24"/>
      <c r="BG43" s="20"/>
      <c r="BH43" s="20"/>
      <c r="BI43" s="20"/>
      <c r="BJ43" s="20"/>
      <c r="BL43" s="16"/>
      <c r="BM43" s="24"/>
      <c r="BN43" s="24"/>
      <c r="BO43" s="24"/>
      <c r="BT43" s="16"/>
      <c r="BU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7" t="s">
        <v>35</v>
      </c>
      <c r="B44" s="57"/>
      <c r="C44" s="55" t="s">
        <v>2</v>
      </c>
      <c r="D44" s="55"/>
      <c r="E44" s="55"/>
      <c r="F44" s="55"/>
      <c r="G44" s="34"/>
      <c r="H44" s="55" t="s">
        <v>3</v>
      </c>
      <c r="I44" s="55"/>
      <c r="J44" s="55"/>
      <c r="K44" s="55"/>
      <c r="L44" s="55"/>
      <c r="M44" s="56" t="s">
        <v>4</v>
      </c>
      <c r="N44" s="55" t="s">
        <v>5</v>
      </c>
      <c r="O44" s="55"/>
      <c r="P44" s="55"/>
      <c r="Q44" s="55"/>
      <c r="R44" s="55"/>
      <c r="S44" s="55" t="s">
        <v>6</v>
      </c>
      <c r="T44" s="55"/>
      <c r="U44" s="55"/>
      <c r="V44" s="55"/>
      <c r="W44" s="55"/>
      <c r="X44" s="56" t="s">
        <v>7</v>
      </c>
      <c r="Y44" s="56" t="s">
        <v>8</v>
      </c>
      <c r="Z44" s="55" t="s">
        <v>9</v>
      </c>
      <c r="AA44" s="55"/>
      <c r="AB44" s="55"/>
      <c r="AC44" s="55"/>
      <c r="AD44" s="55"/>
      <c r="AE44" s="55" t="s">
        <v>10</v>
      </c>
      <c r="AF44" s="55"/>
      <c r="AG44" s="55"/>
      <c r="AH44" s="55"/>
      <c r="AI44" s="55"/>
      <c r="AJ44" s="56" t="s">
        <v>11</v>
      </c>
      <c r="AK44" s="56" t="s">
        <v>8</v>
      </c>
      <c r="AL44" s="55" t="s">
        <v>12</v>
      </c>
      <c r="AM44" s="55"/>
      <c r="AN44" s="55"/>
      <c r="AO44" s="55"/>
      <c r="AP44" s="55"/>
      <c r="AQ44" s="55" t="s">
        <v>13</v>
      </c>
      <c r="AR44" s="55"/>
      <c r="AS44" s="55"/>
      <c r="AT44" s="55"/>
      <c r="AU44" s="55"/>
      <c r="AV44" s="56" t="s">
        <v>14</v>
      </c>
      <c r="AW44" s="56" t="s">
        <v>8</v>
      </c>
      <c r="AX44" s="55" t="s">
        <v>15</v>
      </c>
      <c r="AY44" s="55"/>
      <c r="AZ44" s="55"/>
      <c r="BA44" s="55"/>
      <c r="BB44" s="55"/>
      <c r="BC44" s="55" t="s">
        <v>16</v>
      </c>
      <c r="BD44" s="55"/>
      <c r="BE44" s="55"/>
      <c r="BF44" s="55"/>
      <c r="BG44" s="55"/>
      <c r="BH44" s="56" t="s">
        <v>17</v>
      </c>
      <c r="BI44" s="56" t="s">
        <v>8</v>
      </c>
      <c r="BJ44" s="55" t="s">
        <v>18</v>
      </c>
      <c r="BK44" s="55"/>
      <c r="BL44" s="55"/>
      <c r="BM44" s="55"/>
      <c r="BN44" s="55"/>
      <c r="BO44" s="55" t="s">
        <v>19</v>
      </c>
      <c r="BP44" s="55"/>
      <c r="BQ44" s="55"/>
      <c r="BR44" s="55"/>
      <c r="BS44" s="55"/>
      <c r="BT44" s="36" t="s">
        <v>20</v>
      </c>
      <c r="BU44" s="30"/>
      <c r="BV44" s="31"/>
      <c r="IP44" s="3"/>
      <c r="IQ44" s="3"/>
      <c r="IR44" s="3"/>
      <c r="IS44" s="3"/>
      <c r="IT44" s="3"/>
    </row>
    <row r="45" spans="1:254" s="2" customFormat="1" ht="12.75" customHeight="1" x14ac:dyDescent="0.2">
      <c r="A45" s="57"/>
      <c r="B45" s="57"/>
      <c r="C45" s="55" t="s">
        <v>21</v>
      </c>
      <c r="D45" s="55"/>
      <c r="E45" s="55" t="s">
        <v>22</v>
      </c>
      <c r="F45" s="55"/>
      <c r="G45" s="55" t="s">
        <v>23</v>
      </c>
      <c r="H45" s="55" t="s">
        <v>21</v>
      </c>
      <c r="I45" s="55"/>
      <c r="J45" s="55" t="s">
        <v>22</v>
      </c>
      <c r="K45" s="55"/>
      <c r="L45" s="55" t="s">
        <v>23</v>
      </c>
      <c r="M45" s="56"/>
      <c r="N45" s="55" t="s">
        <v>21</v>
      </c>
      <c r="O45" s="55"/>
      <c r="P45" s="55" t="s">
        <v>22</v>
      </c>
      <c r="Q45" s="55"/>
      <c r="R45" s="55" t="s">
        <v>23</v>
      </c>
      <c r="S45" s="55" t="s">
        <v>21</v>
      </c>
      <c r="T45" s="55"/>
      <c r="U45" s="55" t="s">
        <v>22</v>
      </c>
      <c r="V45" s="55"/>
      <c r="W45" s="55" t="s">
        <v>23</v>
      </c>
      <c r="X45" s="56"/>
      <c r="Y45" s="56"/>
      <c r="Z45" s="55" t="s">
        <v>21</v>
      </c>
      <c r="AA45" s="55"/>
      <c r="AB45" s="55" t="s">
        <v>22</v>
      </c>
      <c r="AC45" s="55"/>
      <c r="AD45" s="55" t="s">
        <v>23</v>
      </c>
      <c r="AE45" s="55" t="s">
        <v>21</v>
      </c>
      <c r="AF45" s="55"/>
      <c r="AG45" s="55" t="s">
        <v>22</v>
      </c>
      <c r="AH45" s="55"/>
      <c r="AI45" s="55" t="s">
        <v>23</v>
      </c>
      <c r="AJ45" s="56"/>
      <c r="AK45" s="56"/>
      <c r="AL45" s="55" t="s">
        <v>21</v>
      </c>
      <c r="AM45" s="55"/>
      <c r="AN45" s="55" t="s">
        <v>22</v>
      </c>
      <c r="AO45" s="55"/>
      <c r="AP45" s="55" t="s">
        <v>23</v>
      </c>
      <c r="AQ45" s="55" t="s">
        <v>21</v>
      </c>
      <c r="AR45" s="55"/>
      <c r="AS45" s="55" t="s">
        <v>22</v>
      </c>
      <c r="AT45" s="55"/>
      <c r="AU45" s="55" t="s">
        <v>23</v>
      </c>
      <c r="AV45" s="56"/>
      <c r="AW45" s="56"/>
      <c r="AX45" s="55" t="s">
        <v>21</v>
      </c>
      <c r="AY45" s="55"/>
      <c r="AZ45" s="55" t="s">
        <v>22</v>
      </c>
      <c r="BA45" s="55"/>
      <c r="BB45" s="55" t="s">
        <v>23</v>
      </c>
      <c r="BC45" s="55" t="s">
        <v>21</v>
      </c>
      <c r="BD45" s="55"/>
      <c r="BE45" s="55" t="s">
        <v>22</v>
      </c>
      <c r="BF45" s="55"/>
      <c r="BG45" s="55" t="s">
        <v>23</v>
      </c>
      <c r="BH45" s="56"/>
      <c r="BI45" s="56"/>
      <c r="BJ45" s="55" t="s">
        <v>21</v>
      </c>
      <c r="BK45" s="55"/>
      <c r="BL45" s="55" t="s">
        <v>22</v>
      </c>
      <c r="BM45" s="55"/>
      <c r="BN45" s="55"/>
      <c r="BO45" s="55" t="s">
        <v>21</v>
      </c>
      <c r="BP45" s="55"/>
      <c r="BQ45" s="55" t="s">
        <v>22</v>
      </c>
      <c r="BR45" s="55"/>
      <c r="BS45" s="55"/>
      <c r="BT45" s="55" t="s">
        <v>24</v>
      </c>
      <c r="BU45" s="32"/>
      <c r="BV45" s="33"/>
      <c r="IP45" s="3"/>
      <c r="IQ45" s="3"/>
      <c r="IR45" s="3"/>
      <c r="IS45" s="3"/>
      <c r="IT45" s="3"/>
    </row>
    <row r="46" spans="1:254" s="2" customFormat="1" ht="12.75" customHeight="1" x14ac:dyDescent="0.2">
      <c r="A46" s="57"/>
      <c r="B46" s="57"/>
      <c r="C46" s="34" t="s">
        <v>24</v>
      </c>
      <c r="D46" s="34" t="s">
        <v>25</v>
      </c>
      <c r="E46" s="34" t="s">
        <v>24</v>
      </c>
      <c r="F46" s="34" t="s">
        <v>25</v>
      </c>
      <c r="G46" s="55"/>
      <c r="H46" s="34" t="s">
        <v>24</v>
      </c>
      <c r="I46" s="34" t="s">
        <v>25</v>
      </c>
      <c r="J46" s="34" t="s">
        <v>24</v>
      </c>
      <c r="K46" s="34" t="s">
        <v>25</v>
      </c>
      <c r="L46" s="55"/>
      <c r="M46" s="56"/>
      <c r="N46" s="34" t="s">
        <v>24</v>
      </c>
      <c r="O46" s="34" t="s">
        <v>25</v>
      </c>
      <c r="P46" s="34" t="s">
        <v>24</v>
      </c>
      <c r="Q46" s="34" t="s">
        <v>25</v>
      </c>
      <c r="R46" s="55"/>
      <c r="S46" s="34" t="s">
        <v>24</v>
      </c>
      <c r="T46" s="34" t="s">
        <v>25</v>
      </c>
      <c r="U46" s="34" t="s">
        <v>24</v>
      </c>
      <c r="V46" s="34" t="s">
        <v>25</v>
      </c>
      <c r="W46" s="55"/>
      <c r="X46" s="56"/>
      <c r="Y46" s="56"/>
      <c r="Z46" s="34" t="s">
        <v>24</v>
      </c>
      <c r="AA46" s="34" t="s">
        <v>25</v>
      </c>
      <c r="AB46" s="34" t="s">
        <v>24</v>
      </c>
      <c r="AC46" s="34" t="s">
        <v>25</v>
      </c>
      <c r="AD46" s="55"/>
      <c r="AE46" s="34" t="s">
        <v>24</v>
      </c>
      <c r="AF46" s="34" t="s">
        <v>25</v>
      </c>
      <c r="AG46" s="34" t="s">
        <v>24</v>
      </c>
      <c r="AH46" s="34" t="s">
        <v>25</v>
      </c>
      <c r="AI46" s="55"/>
      <c r="AJ46" s="56"/>
      <c r="AK46" s="56"/>
      <c r="AL46" s="34" t="s">
        <v>24</v>
      </c>
      <c r="AM46" s="34" t="s">
        <v>25</v>
      </c>
      <c r="AN46" s="34" t="s">
        <v>24</v>
      </c>
      <c r="AO46" s="34" t="s">
        <v>25</v>
      </c>
      <c r="AP46" s="55"/>
      <c r="AQ46" s="34" t="s">
        <v>24</v>
      </c>
      <c r="AR46" s="34" t="s">
        <v>25</v>
      </c>
      <c r="AS46" s="34" t="s">
        <v>24</v>
      </c>
      <c r="AT46" s="34" t="s">
        <v>25</v>
      </c>
      <c r="AU46" s="55"/>
      <c r="AV46" s="56"/>
      <c r="AW46" s="56"/>
      <c r="AX46" s="34" t="s">
        <v>24</v>
      </c>
      <c r="AY46" s="34" t="s">
        <v>25</v>
      </c>
      <c r="AZ46" s="34" t="s">
        <v>24</v>
      </c>
      <c r="BA46" s="34" t="s">
        <v>25</v>
      </c>
      <c r="BB46" s="55"/>
      <c r="BC46" s="34" t="s">
        <v>24</v>
      </c>
      <c r="BD46" s="34" t="s">
        <v>25</v>
      </c>
      <c r="BE46" s="34" t="s">
        <v>24</v>
      </c>
      <c r="BF46" s="34" t="s">
        <v>25</v>
      </c>
      <c r="BG46" s="55"/>
      <c r="BH46" s="56"/>
      <c r="BI46" s="56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5"/>
      <c r="BU46" s="34" t="s">
        <v>25</v>
      </c>
      <c r="BV46" s="4" t="s">
        <v>23</v>
      </c>
      <c r="IP46" s="3"/>
      <c r="IQ46" s="3"/>
      <c r="IR46" s="3"/>
      <c r="IS46" s="3"/>
      <c r="IT46" s="3"/>
    </row>
    <row r="47" spans="1:254" s="24" customFormat="1" ht="12.75" customHeight="1" x14ac:dyDescent="0.2">
      <c r="A47" s="14" t="s">
        <v>33</v>
      </c>
      <c r="B47" s="9">
        <f>B56-B38</f>
        <v>315399000</v>
      </c>
      <c r="C47" s="8"/>
      <c r="D47" s="8"/>
      <c r="E47" s="8">
        <f>E56-E38</f>
        <v>31961454.180000007</v>
      </c>
      <c r="F47" s="8">
        <f>F56-F38</f>
        <v>28273595.770000003</v>
      </c>
      <c r="G47" s="8">
        <f>F47-E47</f>
        <v>-3687858.4100000039</v>
      </c>
      <c r="H47" s="10"/>
      <c r="I47" s="10"/>
      <c r="J47" s="8">
        <f>J56-J38</f>
        <v>26463081.410000004</v>
      </c>
      <c r="K47" s="8">
        <f>K56-K38</f>
        <v>18361055.440000005</v>
      </c>
      <c r="L47" s="8">
        <f>K47-J47</f>
        <v>-8102025.9699999988</v>
      </c>
      <c r="M47" s="8">
        <f>F47+K47</f>
        <v>46634651.210000008</v>
      </c>
      <c r="N47" s="11"/>
      <c r="O47" s="11"/>
      <c r="P47" s="8">
        <f>P56-P38</f>
        <v>42349228.209999993</v>
      </c>
      <c r="Q47" s="8">
        <f>Q56-Q38</f>
        <v>23330555.759999998</v>
      </c>
      <c r="R47" s="8">
        <f>Q47-P47</f>
        <v>-19018672.449999996</v>
      </c>
      <c r="S47" s="10"/>
      <c r="T47" s="10"/>
      <c r="U47" s="8">
        <f>U56-U38</f>
        <v>45641825.00999999</v>
      </c>
      <c r="V47" s="8">
        <f>V56-V38</f>
        <v>25967224.369999997</v>
      </c>
      <c r="W47" s="8">
        <f>V47-U47</f>
        <v>-19674600.639999993</v>
      </c>
      <c r="X47" s="8">
        <f>P47+V47</f>
        <v>68316452.579999983</v>
      </c>
      <c r="Y47" s="9">
        <f>M47+X47</f>
        <v>114951103.78999999</v>
      </c>
      <c r="Z47" s="8"/>
      <c r="AA47" s="8"/>
      <c r="AB47" s="8">
        <f>AB56-AB38</f>
        <v>48160920.649999984</v>
      </c>
      <c r="AC47" s="8">
        <f>AC56-AC38</f>
        <v>0</v>
      </c>
      <c r="AD47" s="8">
        <f>AC47-AB47</f>
        <v>-48160920.649999984</v>
      </c>
      <c r="AE47" s="8"/>
      <c r="AF47" s="8"/>
      <c r="AG47" s="8">
        <f>AG56-AG38</f>
        <v>19955180</v>
      </c>
      <c r="AH47" s="8">
        <f>AH56-AH38</f>
        <v>0</v>
      </c>
      <c r="AI47" s="8">
        <f>AH47-AG47</f>
        <v>-19955180</v>
      </c>
      <c r="AJ47" s="8">
        <f>AB47+AG47</f>
        <v>68116100.649999976</v>
      </c>
      <c r="AK47" s="8">
        <f>Y47+AJ47</f>
        <v>183067204.43999997</v>
      </c>
      <c r="AL47" s="10"/>
      <c r="AM47" s="10"/>
      <c r="AN47" s="8">
        <f>AN56-AN38</f>
        <v>22976510.020000003</v>
      </c>
      <c r="AO47" s="8">
        <f>AO56-AO38</f>
        <v>0</v>
      </c>
      <c r="AP47" s="8">
        <f>AO47-AN47</f>
        <v>-22976510.020000003</v>
      </c>
      <c r="AQ47" s="10"/>
      <c r="AR47" s="10"/>
      <c r="AS47" s="8">
        <f>AS56-AS38</f>
        <v>22119120.060000002</v>
      </c>
      <c r="AT47" s="8">
        <f>AT56-AT38</f>
        <v>0</v>
      </c>
      <c r="AU47" s="8">
        <f>AT47-AS47</f>
        <v>-22119120.060000002</v>
      </c>
      <c r="AV47" s="8">
        <f>AN47+AS47</f>
        <v>45095630.080000006</v>
      </c>
      <c r="AW47" s="10">
        <f>AK47+AV47</f>
        <v>228162834.51999998</v>
      </c>
      <c r="AX47" s="10"/>
      <c r="AY47" s="10"/>
      <c r="AZ47" s="8">
        <f>AZ56-AZ38</f>
        <v>20611245.039999999</v>
      </c>
      <c r="BA47" s="8">
        <f>BA56-BA38</f>
        <v>0</v>
      </c>
      <c r="BB47" s="8">
        <f>BA47-AZ47</f>
        <v>-20611245.039999999</v>
      </c>
      <c r="BC47" s="10"/>
      <c r="BD47" s="10"/>
      <c r="BE47" s="8">
        <f>BE56-BE38</f>
        <v>25077937.759999998</v>
      </c>
      <c r="BF47" s="8">
        <f>BF56-BF38</f>
        <v>0</v>
      </c>
      <c r="BG47" s="8">
        <f>BF47-BE47</f>
        <v>-25077937.759999998</v>
      </c>
      <c r="BH47" s="8">
        <f>AZ47+BE47</f>
        <v>45689182.799999997</v>
      </c>
      <c r="BI47" s="10">
        <f>AW47+BH47</f>
        <v>273852017.31999999</v>
      </c>
      <c r="BJ47" s="10"/>
      <c r="BK47" s="10"/>
      <c r="BL47" s="8">
        <f>BL56-BL38</f>
        <v>29812947.560000002</v>
      </c>
      <c r="BM47" s="8"/>
      <c r="BN47" s="10"/>
      <c r="BO47" s="10"/>
      <c r="BP47" s="10"/>
      <c r="BQ47" s="8">
        <f>BQ56-BQ38</f>
        <v>35443307.579999998</v>
      </c>
      <c r="BR47" s="8"/>
      <c r="BS47" s="10"/>
      <c r="BT47" s="8">
        <f>SUM(M47+X47+AJ47+AV47+BH47+BL47+BQ47)</f>
        <v>339108272.45999998</v>
      </c>
      <c r="BU47" s="9" t="e">
        <f>#REF!+K47+Q47+V47+AC47+AH47+AO47+AT47+BA47+BF47+BM47+BR47</f>
        <v>#REF!</v>
      </c>
      <c r="BV47" s="11" t="e">
        <f>BT47-BU47</f>
        <v>#REF!</v>
      </c>
      <c r="IP47" s="3"/>
      <c r="IQ47" s="3"/>
      <c r="IR47" s="3"/>
      <c r="IS47" s="3"/>
      <c r="IT47" s="3"/>
    </row>
    <row r="48" spans="1:254" s="24" customFormat="1" ht="12.75" customHeight="1" x14ac:dyDescent="0.2">
      <c r="A48" s="14" t="s">
        <v>34</v>
      </c>
      <c r="B48" s="9">
        <f>B47</f>
        <v>315399000</v>
      </c>
      <c r="C48" s="8">
        <v>410000</v>
      </c>
      <c r="D48" s="8">
        <v>370612.36</v>
      </c>
      <c r="E48" s="8">
        <f>E57-E39</f>
        <v>32404266.850000001</v>
      </c>
      <c r="F48" s="8">
        <f>F57-F39</f>
        <v>20010446.909999996</v>
      </c>
      <c r="G48" s="8">
        <f>C48-D48+E48-F48</f>
        <v>12433207.580000006</v>
      </c>
      <c r="H48" s="8">
        <v>410000</v>
      </c>
      <c r="I48" s="8">
        <v>370612.36</v>
      </c>
      <c r="J48" s="8">
        <f>J57-J39</f>
        <v>40501136.280000001</v>
      </c>
      <c r="K48" s="8">
        <f>K32-K39</f>
        <v>16965955.460000001</v>
      </c>
      <c r="L48" s="8">
        <f>SUM(H48-I48,J48-K48)</f>
        <v>23574568.460000001</v>
      </c>
      <c r="M48" s="8">
        <f>D48+F48+I48+K48</f>
        <v>37717627.089999996</v>
      </c>
      <c r="N48" s="8">
        <f>H48</f>
        <v>410000</v>
      </c>
      <c r="O48" s="8">
        <v>367950.22</v>
      </c>
      <c r="P48" s="8">
        <f>P57-P39</f>
        <v>97672956.879999995</v>
      </c>
      <c r="Q48" s="8">
        <f>Q32-Q39</f>
        <v>20201851.939999998</v>
      </c>
      <c r="R48" s="8">
        <f>SUM(N48-O48,P48-Q48)</f>
        <v>77513154.719999999</v>
      </c>
      <c r="S48" s="8">
        <v>410000</v>
      </c>
      <c r="T48" s="8">
        <v>362838.97</v>
      </c>
      <c r="U48" s="8">
        <f>U32-U39</f>
        <v>100396100.69999999</v>
      </c>
      <c r="V48" s="8">
        <f>V32-V39</f>
        <v>21448226.149999991</v>
      </c>
      <c r="W48" s="8">
        <f>SUM(S48-T48,U48-V48)</f>
        <v>78995035.579999998</v>
      </c>
      <c r="X48" s="8">
        <f>O48+Q48+T48+V48</f>
        <v>42380867.279999986</v>
      </c>
      <c r="Y48" s="8">
        <f>M48+X48</f>
        <v>80098494.369999975</v>
      </c>
      <c r="Z48" s="8">
        <v>410000</v>
      </c>
      <c r="AA48" s="8"/>
      <c r="AB48" s="8">
        <f>AB57-AB39</f>
        <v>100826893.98999998</v>
      </c>
      <c r="AC48" s="8">
        <f>AC57-AC39</f>
        <v>0</v>
      </c>
      <c r="AD48" s="8">
        <f>Z48-AA48+AB48-AC48</f>
        <v>101236893.98999998</v>
      </c>
      <c r="AE48" s="8">
        <v>410000</v>
      </c>
      <c r="AF48" s="8"/>
      <c r="AG48" s="8">
        <f>AG57-AG39</f>
        <v>19324000</v>
      </c>
      <c r="AH48" s="8">
        <f>AH57-AH39</f>
        <v>0</v>
      </c>
      <c r="AI48" s="8">
        <f>AE48-AF48+AG48-AH48</f>
        <v>19734000</v>
      </c>
      <c r="AJ48" s="8">
        <f>Z48+AB48+AE48+AG48</f>
        <v>120970893.98999998</v>
      </c>
      <c r="AK48" s="8">
        <f>Y48+AJ48</f>
        <v>201069388.35999995</v>
      </c>
      <c r="AL48" s="8">
        <v>410000</v>
      </c>
      <c r="AM48" s="8"/>
      <c r="AN48" s="8">
        <f>AN57-AN39</f>
        <v>20843000</v>
      </c>
      <c r="AO48" s="8">
        <f>AO57-AO39</f>
        <v>0</v>
      </c>
      <c r="AP48" s="8">
        <f>AL48-AM48+AN48-AO48</f>
        <v>21253000</v>
      </c>
      <c r="AQ48" s="8">
        <v>410000</v>
      </c>
      <c r="AR48" s="8"/>
      <c r="AS48" s="8">
        <f>AS57-AS39</f>
        <v>16678000</v>
      </c>
      <c r="AT48" s="8">
        <f>AT57-AT39</f>
        <v>0</v>
      </c>
      <c r="AU48" s="8">
        <f>AQ48-AR48+AS48-AT48</f>
        <v>17088000</v>
      </c>
      <c r="AV48" s="8">
        <f>AL48+AN48+AQ48+AS48</f>
        <v>38341000</v>
      </c>
      <c r="AW48" s="9">
        <f>AK48+AV48</f>
        <v>239410388.35999995</v>
      </c>
      <c r="AX48" s="8">
        <v>410000</v>
      </c>
      <c r="AY48" s="8"/>
      <c r="AZ48" s="8">
        <f>AZ57-AZ39</f>
        <v>20753000</v>
      </c>
      <c r="BA48" s="8">
        <f>BA32-BA39</f>
        <v>0</v>
      </c>
      <c r="BB48" s="8">
        <f>AX48-AY48+AZ48-BA48</f>
        <v>21163000</v>
      </c>
      <c r="BC48" s="8">
        <v>410000</v>
      </c>
      <c r="BD48" s="8"/>
      <c r="BE48" s="8">
        <f>BE57-BE39</f>
        <v>21517000</v>
      </c>
      <c r="BF48" s="8">
        <f>BF32-BF39</f>
        <v>0</v>
      </c>
      <c r="BG48" s="8">
        <f>BC48-BD48+BE48-BF48</f>
        <v>21927000</v>
      </c>
      <c r="BH48" s="8">
        <f>AX48+AZ48+BC48+BE48</f>
        <v>43090000</v>
      </c>
      <c r="BI48" s="9">
        <f>AW48+BH48</f>
        <v>282500388.35999995</v>
      </c>
      <c r="BJ48" s="8">
        <f>BC48</f>
        <v>410000</v>
      </c>
      <c r="BK48" s="8"/>
      <c r="BL48" s="8">
        <f>BL57-BL39</f>
        <v>22674850</v>
      </c>
      <c r="BM48" s="8"/>
      <c r="BN48" s="8" t="e">
        <f>#REF!</f>
        <v>#REF!</v>
      </c>
      <c r="BO48" s="8">
        <v>820000</v>
      </c>
      <c r="BP48" s="8"/>
      <c r="BQ48" s="8">
        <f>BQ57-BQ39</f>
        <v>34294950</v>
      </c>
      <c r="BR48" s="9"/>
      <c r="BS48" s="9" t="e">
        <f>#REF!</f>
        <v>#REF!</v>
      </c>
      <c r="BT48" s="8">
        <f>SUM(M48+X48+AJ48+AV48+BH48+BJ48+BL48+BO48+BQ48)</f>
        <v>340700188.35999995</v>
      </c>
      <c r="BU48" s="8" t="e">
        <f>#REF!-#REF!</f>
        <v>#REF!</v>
      </c>
      <c r="BV48" s="8" t="e">
        <f>#REF!-#REF!</f>
        <v>#REF!</v>
      </c>
      <c r="IP48" s="3"/>
      <c r="IQ48" s="3"/>
      <c r="IR48" s="3"/>
      <c r="IS48" s="3"/>
      <c r="IT48" s="3"/>
    </row>
    <row r="49" spans="1:254" s="24" customFormat="1" ht="17.25" customHeight="1" x14ac:dyDescent="0.2">
      <c r="A49" s="14" t="s">
        <v>61</v>
      </c>
      <c r="B49" s="9"/>
      <c r="C49" s="8"/>
      <c r="D49" s="8"/>
      <c r="E49" s="8">
        <f>E47-C48-E48</f>
        <v>-852812.66999999434</v>
      </c>
      <c r="F49" s="8">
        <f>F47-D48-F48</f>
        <v>7892536.5000000075</v>
      </c>
      <c r="G49" s="8"/>
      <c r="H49" s="8"/>
      <c r="I49" s="8"/>
      <c r="J49" s="8">
        <f>J47-H48-J48</f>
        <v>-14448054.869999997</v>
      </c>
      <c r="K49" s="8">
        <f>K47-I48-K48</f>
        <v>1024487.6200000048</v>
      </c>
      <c r="L49" s="8"/>
      <c r="M49" s="8">
        <f>M47-M48</f>
        <v>8917024.1200000122</v>
      </c>
      <c r="N49" s="8"/>
      <c r="O49" s="8"/>
      <c r="P49" s="8">
        <f>P47-N48-P48</f>
        <v>-55733728.670000002</v>
      </c>
      <c r="Q49" s="8">
        <f>Q47-O48-Q48</f>
        <v>2760753.6000000015</v>
      </c>
      <c r="R49" s="8"/>
      <c r="S49" s="8"/>
      <c r="T49" s="8"/>
      <c r="U49" s="8">
        <f>U47-S48-U48</f>
        <v>-55164275.689999998</v>
      </c>
      <c r="V49" s="8">
        <f>Q50</f>
        <v>48677667.350000009</v>
      </c>
      <c r="W49" s="8"/>
      <c r="X49" s="8">
        <f>X47-X48</f>
        <v>25935585.299999997</v>
      </c>
      <c r="Y49" s="8"/>
      <c r="Z49" s="8"/>
      <c r="AA49" s="8"/>
      <c r="AB49" s="8">
        <f>AB47-Z48-AB48</f>
        <v>-53075973.339999996</v>
      </c>
      <c r="AC49" s="8">
        <f>V50</f>
        <v>53069847.960000016</v>
      </c>
      <c r="AD49" s="8"/>
      <c r="AE49" s="8"/>
      <c r="AF49" s="8"/>
      <c r="AG49" s="8">
        <f>AG47-AE48-AG48</f>
        <v>221180</v>
      </c>
      <c r="AH49" s="8">
        <f>AC50</f>
        <v>53069847.960000016</v>
      </c>
      <c r="AI49" s="8"/>
      <c r="AJ49" s="8">
        <f>AJ47-AJ48</f>
        <v>-52854793.340000004</v>
      </c>
      <c r="AK49" s="8"/>
      <c r="AL49" s="8"/>
      <c r="AM49" s="8"/>
      <c r="AN49" s="8">
        <f>AN47-AL48-AN48</f>
        <v>1723510.0200000033</v>
      </c>
      <c r="AO49" s="8">
        <f>AH50</f>
        <v>53069847.960000016</v>
      </c>
      <c r="AP49" s="8"/>
      <c r="AQ49" s="8"/>
      <c r="AR49" s="8"/>
      <c r="AS49" s="8">
        <f>AS47-AQ48-AS48</f>
        <v>5031120.0600000024</v>
      </c>
      <c r="AT49" s="8">
        <f>AO50</f>
        <v>53069847.960000016</v>
      </c>
      <c r="AU49" s="8"/>
      <c r="AV49" s="8">
        <f>AV47-AV48</f>
        <v>6754630.0800000057</v>
      </c>
      <c r="AW49" s="9"/>
      <c r="AX49" s="8"/>
      <c r="AY49" s="8"/>
      <c r="AZ49" s="8">
        <f>AZ47-AX48-AZ48</f>
        <v>-551754.96000000089</v>
      </c>
      <c r="BA49" s="8">
        <f>AT50</f>
        <v>53069847.960000016</v>
      </c>
      <c r="BB49" s="8"/>
      <c r="BC49" s="8"/>
      <c r="BD49" s="8"/>
      <c r="BE49" s="8">
        <f>BE47-BC48-BE48</f>
        <v>3150937.7599999979</v>
      </c>
      <c r="BF49" s="8">
        <f>BA50</f>
        <v>53069847.960000016</v>
      </c>
      <c r="BG49" s="8"/>
      <c r="BH49" s="8">
        <f>BH47-BH48</f>
        <v>2599182.799999997</v>
      </c>
      <c r="BI49" s="9"/>
      <c r="BJ49" s="8"/>
      <c r="BK49" s="8"/>
      <c r="BL49" s="8">
        <f>BL47-BJ48-BL48</f>
        <v>6728097.5600000024</v>
      </c>
      <c r="BM49" s="8"/>
      <c r="BN49" s="8"/>
      <c r="BO49" s="8"/>
      <c r="BP49" s="8"/>
      <c r="BQ49" s="8">
        <f>BQ47-BO48-BQ48</f>
        <v>328357.57999999821</v>
      </c>
      <c r="BR49" s="9"/>
      <c r="BS49" s="9"/>
      <c r="BT49" s="8">
        <f>BT47-BT48</f>
        <v>-1591915.8999999762</v>
      </c>
      <c r="BU49" s="8"/>
      <c r="BV49" s="8"/>
      <c r="IP49" s="3"/>
      <c r="IQ49" s="3"/>
      <c r="IR49" s="3"/>
      <c r="IS49" s="3"/>
      <c r="IT49" s="3"/>
    </row>
    <row r="50" spans="1:254" s="24" customFormat="1" ht="12.75" customHeight="1" x14ac:dyDescent="0.2">
      <c r="A50" s="14" t="s">
        <v>60</v>
      </c>
      <c r="B50" s="9">
        <f>B47-B48</f>
        <v>0</v>
      </c>
      <c r="C50" s="8"/>
      <c r="D50" s="8"/>
      <c r="E50" s="8">
        <f>B51+E49</f>
        <v>36147076.960000001</v>
      </c>
      <c r="F50" s="8">
        <f>F49+E51</f>
        <v>44892426.130000003</v>
      </c>
      <c r="G50" s="8"/>
      <c r="H50" s="8"/>
      <c r="I50" s="8"/>
      <c r="J50" s="8">
        <f>J49+F50</f>
        <v>30444371.260000005</v>
      </c>
      <c r="K50" s="8">
        <f>K49+F50</f>
        <v>45916913.750000007</v>
      </c>
      <c r="L50" s="8"/>
      <c r="M50" s="8">
        <f>M49+E51</f>
        <v>45916913.750000007</v>
      </c>
      <c r="N50" s="10"/>
      <c r="O50" s="10"/>
      <c r="P50" s="8">
        <f>P49+K50</f>
        <v>-9816814.9199999943</v>
      </c>
      <c r="Q50" s="8">
        <f>K50+Q49</f>
        <v>48677667.350000009</v>
      </c>
      <c r="R50" s="8"/>
      <c r="S50" s="8"/>
      <c r="T50" s="8"/>
      <c r="U50" s="8">
        <f>U49+P50</f>
        <v>-64981090.609999992</v>
      </c>
      <c r="V50" s="8">
        <f>V47+V51-T48-V48+V49</f>
        <v>53069847.960000016</v>
      </c>
      <c r="W50" s="8"/>
      <c r="X50" s="8">
        <f>M50+X49</f>
        <v>71852499.050000012</v>
      </c>
      <c r="Y50" s="8">
        <f>Y47+Y51+Y48</f>
        <v>200252885.28999996</v>
      </c>
      <c r="Z50" s="8"/>
      <c r="AA50" s="8"/>
      <c r="AB50" s="8">
        <f>AB49+U50</f>
        <v>-118057063.94999999</v>
      </c>
      <c r="AC50" s="8">
        <f>AC47+AC51-AA48-AC48+AC49</f>
        <v>53069847.960000016</v>
      </c>
      <c r="AD50" s="8"/>
      <c r="AE50" s="8"/>
      <c r="AF50" s="8"/>
      <c r="AG50" s="8">
        <f>AG49+AB50</f>
        <v>-117835883.94999999</v>
      </c>
      <c r="AH50" s="8">
        <f>AH47+AH51-AF48-AH48+AH49</f>
        <v>53069847.960000016</v>
      </c>
      <c r="AI50" s="8"/>
      <c r="AJ50" s="8">
        <f>AJ49+X50</f>
        <v>18997705.710000008</v>
      </c>
      <c r="AK50" s="8" t="e">
        <f>AK47+AK51+AK48-#REF!-#REF!</f>
        <v>#REF!</v>
      </c>
      <c r="AL50" s="8"/>
      <c r="AM50" s="8"/>
      <c r="AN50" s="8">
        <f>AN49+AG50</f>
        <v>-116112373.92999998</v>
      </c>
      <c r="AO50" s="8">
        <f>AO47+AO51-AM48-AO48+AO49</f>
        <v>53069847.960000016</v>
      </c>
      <c r="AP50" s="8"/>
      <c r="AQ50" s="8"/>
      <c r="AR50" s="8"/>
      <c r="AS50" s="8">
        <f>AS49+AN50</f>
        <v>-111081253.86999997</v>
      </c>
      <c r="AT50" s="8">
        <f>AT47+AT51-AR48-AT48+AT49</f>
        <v>53069847.960000016</v>
      </c>
      <c r="AU50" s="8"/>
      <c r="AV50" s="8">
        <f>AV49+AJ50</f>
        <v>25752335.790000014</v>
      </c>
      <c r="AW50" s="8" t="e">
        <f>AW47+AW51+AW48-#REF!-#REF!</f>
        <v>#REF!</v>
      </c>
      <c r="AX50" s="8"/>
      <c r="AY50" s="8"/>
      <c r="AZ50" s="8">
        <f>AZ49+AS50</f>
        <v>-111633008.82999998</v>
      </c>
      <c r="BA50" s="8">
        <f>BA47+BA51-AY48-BA48+BA49</f>
        <v>53069847.960000016</v>
      </c>
      <c r="BB50" s="8"/>
      <c r="BC50" s="8" t="s">
        <v>27</v>
      </c>
      <c r="BD50" s="8" t="s">
        <v>27</v>
      </c>
      <c r="BE50" s="8">
        <f>BE49+AZ50</f>
        <v>-108482071.06999999</v>
      </c>
      <c r="BF50" s="8">
        <f>BF47+BF51-BD48-BF48+BF49</f>
        <v>53069847.960000016</v>
      </c>
      <c r="BG50" s="8"/>
      <c r="BH50" s="8">
        <f>BH49+AV50</f>
        <v>28351518.590000011</v>
      </c>
      <c r="BI50" s="8" t="e">
        <f>BI47+BI51+BI48-#REF!-#REF!</f>
        <v>#REF!</v>
      </c>
      <c r="BJ50" s="8"/>
      <c r="BK50" s="8"/>
      <c r="BL50" s="8">
        <f>BL49+BE50</f>
        <v>-101753973.50999999</v>
      </c>
      <c r="BM50" s="8">
        <f>BM47-SUM(BM48:BM49)</f>
        <v>0</v>
      </c>
      <c r="BN50" s="8" t="e">
        <f>BN47-SUM(BN48:BN49)</f>
        <v>#REF!</v>
      </c>
      <c r="BO50" s="8"/>
      <c r="BP50" s="8"/>
      <c r="BQ50" s="8">
        <f>BQ49+BL50</f>
        <v>-101425615.92999999</v>
      </c>
      <c r="BR50" s="8">
        <f>BR47-SUM(BR48:BR48)</f>
        <v>0</v>
      </c>
      <c r="BS50" s="8" t="e">
        <f>BS47-SUM(BS48:BS48)</f>
        <v>#REF!</v>
      </c>
      <c r="BT50" s="8">
        <f>BT49+B51</f>
        <v>35407973.730000019</v>
      </c>
      <c r="BU50" s="8" t="e">
        <f>BU47-SUM(BV48:BV48)</f>
        <v>#REF!</v>
      </c>
      <c r="BV50" s="8" t="e">
        <f>BV47-SUM(#REF!)</f>
        <v>#REF!</v>
      </c>
      <c r="IP50" s="3"/>
      <c r="IQ50" s="3"/>
      <c r="IR50" s="3"/>
      <c r="IS50" s="3"/>
      <c r="IT50" s="3"/>
    </row>
    <row r="51" spans="1:254" s="24" customFormat="1" ht="12.75" customHeight="1" x14ac:dyDescent="0.2">
      <c r="A51" s="48" t="s">
        <v>59</v>
      </c>
      <c r="B51" s="49">
        <f>B60-B42</f>
        <v>36999889.629999995</v>
      </c>
      <c r="C51" s="50"/>
      <c r="D51" s="50"/>
      <c r="E51" s="50">
        <f>B51</f>
        <v>36999889.629999995</v>
      </c>
      <c r="F51" s="50">
        <f>F60-F42</f>
        <v>3093570.6499999994</v>
      </c>
      <c r="G51" s="50">
        <f>E51-F51</f>
        <v>33906318.979999997</v>
      </c>
      <c r="H51" s="50"/>
      <c r="I51" s="50"/>
      <c r="J51" s="50">
        <f>G51</f>
        <v>33906318.979999997</v>
      </c>
      <c r="K51" s="50">
        <f>K60-K42</f>
        <v>1200900.3999999999</v>
      </c>
      <c r="L51" s="50">
        <f>J51-K51</f>
        <v>32705418.579999998</v>
      </c>
      <c r="M51" s="50">
        <f>F51+K51</f>
        <v>4294471.0499999989</v>
      </c>
      <c r="N51" s="51"/>
      <c r="O51" s="51"/>
      <c r="P51" s="50"/>
      <c r="Q51" s="50">
        <f>Q60-Q42</f>
        <v>4967265.7699999996</v>
      </c>
      <c r="R51" s="50">
        <f>L51-Q51</f>
        <v>27738152.809999999</v>
      </c>
      <c r="S51" s="50"/>
      <c r="T51" s="50"/>
      <c r="U51" s="50">
        <f>R51</f>
        <v>27738152.809999999</v>
      </c>
      <c r="V51" s="50">
        <f>V60-V42</f>
        <v>236021.36</v>
      </c>
      <c r="W51" s="50">
        <f>R51-V51</f>
        <v>27502131.449999999</v>
      </c>
      <c r="X51" s="50">
        <f>Q51+V51</f>
        <v>5203287.13</v>
      </c>
      <c r="Y51" s="49">
        <f>X51</f>
        <v>5203287.13</v>
      </c>
      <c r="Z51" s="50"/>
      <c r="AA51" s="50"/>
      <c r="AB51" s="50">
        <f>W51</f>
        <v>27502131.449999999</v>
      </c>
      <c r="AC51" s="50">
        <f>AC60-AC42</f>
        <v>0</v>
      </c>
      <c r="AD51" s="50">
        <f>W51-AC51</f>
        <v>27502131.449999999</v>
      </c>
      <c r="AE51" s="50"/>
      <c r="AF51" s="50"/>
      <c r="AG51" s="50">
        <f>AD51</f>
        <v>27502131.449999999</v>
      </c>
      <c r="AH51" s="50">
        <f>AH60-AH42</f>
        <v>0</v>
      </c>
      <c r="AI51" s="50">
        <f>AG51-AH51</f>
        <v>27502131.449999999</v>
      </c>
      <c r="AJ51" s="50">
        <f>AC51+AH51</f>
        <v>0</v>
      </c>
      <c r="AK51" s="50">
        <f>Y51+AJ51</f>
        <v>5203287.13</v>
      </c>
      <c r="AL51" s="50"/>
      <c r="AM51" s="50"/>
      <c r="AN51" s="50">
        <f>AI51</f>
        <v>27502131.449999999</v>
      </c>
      <c r="AO51" s="50">
        <f>AO60-AO42</f>
        <v>0</v>
      </c>
      <c r="AP51" s="50">
        <f>AI51-AO51</f>
        <v>27502131.449999999</v>
      </c>
      <c r="AQ51" s="50"/>
      <c r="AR51" s="50"/>
      <c r="AS51" s="50">
        <f>AN51</f>
        <v>27502131.449999999</v>
      </c>
      <c r="AT51" s="50">
        <f>AT60</f>
        <v>0</v>
      </c>
      <c r="AU51" s="50">
        <f>AS51-AT51</f>
        <v>27502131.449999999</v>
      </c>
      <c r="AV51" s="50">
        <f>AO51+AT51</f>
        <v>0</v>
      </c>
      <c r="AW51" s="50">
        <f>AK51+AV51</f>
        <v>5203287.13</v>
      </c>
      <c r="AX51" s="50"/>
      <c r="AY51" s="50"/>
      <c r="AZ51" s="50">
        <f>AZ60-AZ42</f>
        <v>0</v>
      </c>
      <c r="BA51" s="50">
        <f>BA60</f>
        <v>0</v>
      </c>
      <c r="BB51" s="50">
        <f>AU51-BA51</f>
        <v>27502131.449999999</v>
      </c>
      <c r="BC51" s="50"/>
      <c r="BD51" s="50"/>
      <c r="BE51" s="50">
        <f>BB51</f>
        <v>27502131.449999999</v>
      </c>
      <c r="BF51" s="50">
        <f>BF60</f>
        <v>0</v>
      </c>
      <c r="BG51" s="50">
        <f>BE51-BF51</f>
        <v>27502131.449999999</v>
      </c>
      <c r="BH51" s="50">
        <f>BA51+BF51</f>
        <v>0</v>
      </c>
      <c r="BI51" s="50">
        <f>AW51+BH51</f>
        <v>5203287.13</v>
      </c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8"/>
      <c r="BV51" s="8"/>
      <c r="IP51" s="3"/>
      <c r="IQ51" s="3"/>
      <c r="IR51" s="3"/>
      <c r="IS51" s="3"/>
      <c r="IT51" s="3"/>
    </row>
    <row r="52" spans="1:254" ht="12" customHeight="1" x14ac:dyDescent="0.2">
      <c r="G52" s="24"/>
      <c r="H52" s="20"/>
      <c r="K52" s="24"/>
      <c r="O52" s="19"/>
      <c r="P52" s="24"/>
      <c r="Q52" s="16"/>
      <c r="R52" s="20"/>
      <c r="S52" s="20"/>
      <c r="V52" s="24"/>
      <c r="W52" s="24"/>
      <c r="X52" s="24"/>
      <c r="AB52" s="16"/>
      <c r="AD52" s="20"/>
      <c r="AE52" s="20"/>
      <c r="AH52" s="24"/>
      <c r="AJ52" s="20"/>
      <c r="AL52" s="20"/>
      <c r="AN52" s="16"/>
      <c r="AO52" s="24"/>
      <c r="AT52" s="24"/>
      <c r="AV52" s="20"/>
      <c r="AX52" s="20"/>
      <c r="AZ52" s="16"/>
      <c r="BA52" s="24"/>
      <c r="BB52" s="24"/>
      <c r="BC52" s="24"/>
      <c r="BG52" s="20"/>
      <c r="BH52" s="20"/>
      <c r="BJ52" s="20"/>
      <c r="BL52" s="16"/>
      <c r="BM52" s="24"/>
      <c r="BN52" s="24"/>
      <c r="BO52" s="24"/>
      <c r="BT52" s="16"/>
      <c r="BV52" s="19"/>
      <c r="BW52" s="2"/>
      <c r="IP52" s="3"/>
      <c r="IQ52" s="3"/>
      <c r="IR52" s="3"/>
      <c r="IS52" s="3"/>
    </row>
    <row r="53" spans="1:254" s="2" customFormat="1" ht="12.75" customHeight="1" x14ac:dyDescent="0.2">
      <c r="A53" s="57" t="s">
        <v>36</v>
      </c>
      <c r="B53" s="57"/>
      <c r="C53" s="55" t="s">
        <v>2</v>
      </c>
      <c r="D53" s="55"/>
      <c r="E53" s="55"/>
      <c r="F53" s="55"/>
      <c r="G53" s="34"/>
      <c r="H53" s="55" t="s">
        <v>3</v>
      </c>
      <c r="I53" s="55"/>
      <c r="J53" s="55"/>
      <c r="K53" s="55"/>
      <c r="L53" s="55"/>
      <c r="M53" s="56" t="s">
        <v>4</v>
      </c>
      <c r="N53" s="55" t="s">
        <v>5</v>
      </c>
      <c r="O53" s="55"/>
      <c r="P53" s="55"/>
      <c r="Q53" s="55"/>
      <c r="R53" s="55"/>
      <c r="S53" s="55" t="s">
        <v>6</v>
      </c>
      <c r="T53" s="55"/>
      <c r="U53" s="55"/>
      <c r="V53" s="55"/>
      <c r="W53" s="55"/>
      <c r="X53" s="56" t="s">
        <v>7</v>
      </c>
      <c r="Y53" s="56" t="s">
        <v>8</v>
      </c>
      <c r="Z53" s="55" t="s">
        <v>9</v>
      </c>
      <c r="AA53" s="55"/>
      <c r="AB53" s="55"/>
      <c r="AC53" s="55"/>
      <c r="AD53" s="55"/>
      <c r="AE53" s="55" t="s">
        <v>10</v>
      </c>
      <c r="AF53" s="55"/>
      <c r="AG53" s="55"/>
      <c r="AH53" s="55"/>
      <c r="AI53" s="55"/>
      <c r="AJ53" s="56" t="s">
        <v>11</v>
      </c>
      <c r="AK53" s="56" t="s">
        <v>8</v>
      </c>
      <c r="AL53" s="55" t="s">
        <v>12</v>
      </c>
      <c r="AM53" s="55"/>
      <c r="AN53" s="55"/>
      <c r="AO53" s="55"/>
      <c r="AP53" s="55"/>
      <c r="AQ53" s="55" t="s">
        <v>13</v>
      </c>
      <c r="AR53" s="55"/>
      <c r="AS53" s="55"/>
      <c r="AT53" s="55"/>
      <c r="AU53" s="55"/>
      <c r="AV53" s="56" t="s">
        <v>14</v>
      </c>
      <c r="AW53" s="56" t="s">
        <v>8</v>
      </c>
      <c r="AX53" s="55" t="s">
        <v>15</v>
      </c>
      <c r="AY53" s="55"/>
      <c r="AZ53" s="55"/>
      <c r="BA53" s="55"/>
      <c r="BB53" s="55"/>
      <c r="BC53" s="55" t="s">
        <v>16</v>
      </c>
      <c r="BD53" s="55"/>
      <c r="BE53" s="55"/>
      <c r="BF53" s="55"/>
      <c r="BG53" s="55"/>
      <c r="BH53" s="56" t="s">
        <v>17</v>
      </c>
      <c r="BI53" s="56" t="s">
        <v>8</v>
      </c>
      <c r="BJ53" s="55" t="s">
        <v>18</v>
      </c>
      <c r="BK53" s="55"/>
      <c r="BL53" s="55"/>
      <c r="BM53" s="55"/>
      <c r="BN53" s="55"/>
      <c r="BO53" s="55" t="s">
        <v>19</v>
      </c>
      <c r="BP53" s="55"/>
      <c r="BQ53" s="55"/>
      <c r="BR53" s="55"/>
      <c r="BS53" s="55"/>
      <c r="BT53" s="36" t="s">
        <v>20</v>
      </c>
      <c r="BU53" s="25"/>
      <c r="BV53" s="35"/>
      <c r="IP53" s="3"/>
      <c r="IQ53" s="3"/>
      <c r="IR53" s="3"/>
      <c r="IS53" s="3"/>
      <c r="IT53" s="3"/>
    </row>
    <row r="54" spans="1:254" s="2" customFormat="1" ht="12.75" customHeight="1" x14ac:dyDescent="0.2">
      <c r="A54" s="57"/>
      <c r="B54" s="57"/>
      <c r="C54" s="55" t="s">
        <v>21</v>
      </c>
      <c r="D54" s="55"/>
      <c r="E54" s="55" t="s">
        <v>22</v>
      </c>
      <c r="F54" s="55"/>
      <c r="G54" s="55" t="s">
        <v>23</v>
      </c>
      <c r="H54" s="55" t="s">
        <v>21</v>
      </c>
      <c r="I54" s="55"/>
      <c r="J54" s="55" t="s">
        <v>22</v>
      </c>
      <c r="K54" s="55"/>
      <c r="L54" s="55" t="s">
        <v>23</v>
      </c>
      <c r="M54" s="56"/>
      <c r="N54" s="55" t="s">
        <v>21</v>
      </c>
      <c r="O54" s="55"/>
      <c r="P54" s="55" t="s">
        <v>22</v>
      </c>
      <c r="Q54" s="55"/>
      <c r="R54" s="55" t="s">
        <v>23</v>
      </c>
      <c r="S54" s="55" t="s">
        <v>21</v>
      </c>
      <c r="T54" s="55"/>
      <c r="U54" s="55" t="s">
        <v>22</v>
      </c>
      <c r="V54" s="55"/>
      <c r="W54" s="55" t="s">
        <v>23</v>
      </c>
      <c r="X54" s="56"/>
      <c r="Y54" s="56"/>
      <c r="Z54" s="55" t="s">
        <v>21</v>
      </c>
      <c r="AA54" s="55"/>
      <c r="AB54" s="55" t="s">
        <v>22</v>
      </c>
      <c r="AC54" s="55"/>
      <c r="AD54" s="55" t="s">
        <v>23</v>
      </c>
      <c r="AE54" s="55" t="s">
        <v>21</v>
      </c>
      <c r="AF54" s="55"/>
      <c r="AG54" s="55" t="s">
        <v>22</v>
      </c>
      <c r="AH54" s="55"/>
      <c r="AI54" s="55" t="s">
        <v>23</v>
      </c>
      <c r="AJ54" s="56"/>
      <c r="AK54" s="56"/>
      <c r="AL54" s="55" t="s">
        <v>21</v>
      </c>
      <c r="AM54" s="55"/>
      <c r="AN54" s="55" t="s">
        <v>22</v>
      </c>
      <c r="AO54" s="55"/>
      <c r="AP54" s="55" t="s">
        <v>23</v>
      </c>
      <c r="AQ54" s="55" t="s">
        <v>21</v>
      </c>
      <c r="AR54" s="55"/>
      <c r="AS54" s="55" t="s">
        <v>22</v>
      </c>
      <c r="AT54" s="55"/>
      <c r="AU54" s="55" t="s">
        <v>23</v>
      </c>
      <c r="AV54" s="56"/>
      <c r="AW54" s="56"/>
      <c r="AX54" s="55" t="s">
        <v>21</v>
      </c>
      <c r="AY54" s="55"/>
      <c r="AZ54" s="55" t="s">
        <v>22</v>
      </c>
      <c r="BA54" s="55"/>
      <c r="BB54" s="55" t="s">
        <v>23</v>
      </c>
      <c r="BC54" s="55" t="s">
        <v>21</v>
      </c>
      <c r="BD54" s="55"/>
      <c r="BE54" s="55" t="s">
        <v>22</v>
      </c>
      <c r="BF54" s="55"/>
      <c r="BG54" s="55" t="s">
        <v>23</v>
      </c>
      <c r="BH54" s="56"/>
      <c r="BI54" s="56"/>
      <c r="BJ54" s="55" t="s">
        <v>21</v>
      </c>
      <c r="BK54" s="55"/>
      <c r="BL54" s="55" t="s">
        <v>22</v>
      </c>
      <c r="BM54" s="55"/>
      <c r="BN54" s="55"/>
      <c r="BO54" s="55" t="s">
        <v>21</v>
      </c>
      <c r="BP54" s="55"/>
      <c r="BQ54" s="55" t="s">
        <v>22</v>
      </c>
      <c r="BR54" s="55"/>
      <c r="BS54" s="55"/>
      <c r="BT54" s="55" t="s">
        <v>57</v>
      </c>
      <c r="BU54" s="25"/>
      <c r="BV54" s="35"/>
      <c r="IP54" s="3"/>
      <c r="IQ54" s="3"/>
      <c r="IR54" s="3"/>
      <c r="IS54" s="3"/>
      <c r="IT54" s="3"/>
    </row>
    <row r="55" spans="1:254" s="2" customFormat="1" ht="17.100000000000001" customHeight="1" x14ac:dyDescent="0.2">
      <c r="A55" s="57"/>
      <c r="B55" s="57"/>
      <c r="C55" s="34" t="s">
        <v>24</v>
      </c>
      <c r="D55" s="34" t="s">
        <v>25</v>
      </c>
      <c r="E55" s="34" t="s">
        <v>24</v>
      </c>
      <c r="F55" s="34" t="s">
        <v>25</v>
      </c>
      <c r="G55" s="55"/>
      <c r="H55" s="34" t="s">
        <v>24</v>
      </c>
      <c r="I55" s="34" t="s">
        <v>25</v>
      </c>
      <c r="J55" s="34" t="s">
        <v>24</v>
      </c>
      <c r="K55" s="34" t="s">
        <v>25</v>
      </c>
      <c r="L55" s="55"/>
      <c r="M55" s="56" t="s">
        <v>8</v>
      </c>
      <c r="N55" s="34" t="s">
        <v>24</v>
      </c>
      <c r="O55" s="34" t="s">
        <v>25</v>
      </c>
      <c r="P55" s="34" t="s">
        <v>24</v>
      </c>
      <c r="Q55" s="34" t="s">
        <v>25</v>
      </c>
      <c r="R55" s="55"/>
      <c r="S55" s="34" t="s">
        <v>24</v>
      </c>
      <c r="T55" s="34" t="s">
        <v>25</v>
      </c>
      <c r="U55" s="34" t="s">
        <v>24</v>
      </c>
      <c r="V55" s="34" t="s">
        <v>25</v>
      </c>
      <c r="W55" s="55"/>
      <c r="X55" s="56"/>
      <c r="Y55" s="56"/>
      <c r="Z55" s="34" t="s">
        <v>24</v>
      </c>
      <c r="AA55" s="34" t="s">
        <v>25</v>
      </c>
      <c r="AB55" s="34" t="s">
        <v>24</v>
      </c>
      <c r="AC55" s="34" t="s">
        <v>25</v>
      </c>
      <c r="AD55" s="55"/>
      <c r="AE55" s="34" t="s">
        <v>24</v>
      </c>
      <c r="AF55" s="34" t="s">
        <v>25</v>
      </c>
      <c r="AG55" s="34" t="s">
        <v>24</v>
      </c>
      <c r="AH55" s="34" t="s">
        <v>25</v>
      </c>
      <c r="AI55" s="55"/>
      <c r="AJ55" s="56"/>
      <c r="AK55" s="56"/>
      <c r="AL55" s="34" t="s">
        <v>24</v>
      </c>
      <c r="AM55" s="34" t="s">
        <v>25</v>
      </c>
      <c r="AN55" s="34" t="s">
        <v>24</v>
      </c>
      <c r="AO55" s="34" t="s">
        <v>25</v>
      </c>
      <c r="AP55" s="55"/>
      <c r="AQ55" s="34" t="s">
        <v>24</v>
      </c>
      <c r="AR55" s="34" t="s">
        <v>25</v>
      </c>
      <c r="AS55" s="34" t="s">
        <v>24</v>
      </c>
      <c r="AT55" s="34" t="s">
        <v>25</v>
      </c>
      <c r="AU55" s="55"/>
      <c r="AV55" s="56"/>
      <c r="AW55" s="56"/>
      <c r="AX55" s="34" t="s">
        <v>24</v>
      </c>
      <c r="AY55" s="34" t="s">
        <v>25</v>
      </c>
      <c r="AZ55" s="34" t="s">
        <v>24</v>
      </c>
      <c r="BA55" s="34" t="s">
        <v>25</v>
      </c>
      <c r="BB55" s="55"/>
      <c r="BC55" s="34" t="s">
        <v>24</v>
      </c>
      <c r="BD55" s="34" t="s">
        <v>25</v>
      </c>
      <c r="BE55" s="34" t="s">
        <v>24</v>
      </c>
      <c r="BF55" s="34" t="s">
        <v>25</v>
      </c>
      <c r="BG55" s="55"/>
      <c r="BH55" s="56"/>
      <c r="BI55" s="56"/>
      <c r="BJ55" s="34" t="s">
        <v>24</v>
      </c>
      <c r="BK55" s="34" t="s">
        <v>25</v>
      </c>
      <c r="BL55" s="34" t="s">
        <v>24</v>
      </c>
      <c r="BM55" s="34" t="s">
        <v>25</v>
      </c>
      <c r="BN55" s="4" t="s">
        <v>23</v>
      </c>
      <c r="BO55" s="34" t="s">
        <v>24</v>
      </c>
      <c r="BP55" s="34" t="s">
        <v>25</v>
      </c>
      <c r="BQ55" s="34" t="s">
        <v>24</v>
      </c>
      <c r="BR55" s="34" t="s">
        <v>25</v>
      </c>
      <c r="BS55" s="4" t="s">
        <v>23</v>
      </c>
      <c r="BT55" s="55"/>
      <c r="BU55" s="25" t="s">
        <v>25</v>
      </c>
      <c r="BV55" s="22" t="s">
        <v>23</v>
      </c>
      <c r="IP55" s="3"/>
      <c r="IQ55" s="3"/>
      <c r="IR55" s="3"/>
      <c r="IS55" s="3"/>
      <c r="IT55" s="3"/>
    </row>
    <row r="56" spans="1:254" s="24" customFormat="1" ht="17.100000000000001" customHeight="1" x14ac:dyDescent="0.2">
      <c r="A56" s="14" t="s">
        <v>33</v>
      </c>
      <c r="B56" s="9">
        <v>557500000</v>
      </c>
      <c r="C56" s="9" t="s">
        <v>27</v>
      </c>
      <c r="D56" s="9"/>
      <c r="E56" s="8">
        <f>65803954.18+1357500</f>
        <v>67161454.180000007</v>
      </c>
      <c r="F56" s="8">
        <v>64292984.420000002</v>
      </c>
      <c r="G56" s="8">
        <f>F56-E56</f>
        <v>-2868469.7600000054</v>
      </c>
      <c r="H56" s="8" t="s">
        <v>27</v>
      </c>
      <c r="I56" s="8"/>
      <c r="J56" s="8">
        <f>39776510.02-G56+281712.98</f>
        <v>42926692.760000005</v>
      </c>
      <c r="K56" s="8">
        <v>35094365.310000002</v>
      </c>
      <c r="L56" s="8">
        <f>K56-J56</f>
        <v>-7832327.450000003</v>
      </c>
      <c r="M56" s="9">
        <f>F56+K56</f>
        <v>99387349.730000004</v>
      </c>
      <c r="N56" s="11" t="s">
        <v>27</v>
      </c>
      <c r="O56" s="11"/>
      <c r="P56" s="8">
        <f>47897055.08-L56+3700147.16</f>
        <v>59429529.689999998</v>
      </c>
      <c r="Q56" s="8">
        <v>41059617.369999997</v>
      </c>
      <c r="R56" s="8">
        <f>Q56-P56</f>
        <v>-18369912.32</v>
      </c>
      <c r="S56" s="8" t="s">
        <v>27</v>
      </c>
      <c r="T56" s="8"/>
      <c r="U56" s="8">
        <f>48811912.69-R56</f>
        <v>67181825.00999999</v>
      </c>
      <c r="V56" s="8">
        <v>48246678.159999996</v>
      </c>
      <c r="W56" s="8">
        <f>V56-U56</f>
        <v>-18935146.849999994</v>
      </c>
      <c r="X56" s="9">
        <f>Q56+V56</f>
        <v>89306295.530000001</v>
      </c>
      <c r="Y56" s="8">
        <f>M56+X56</f>
        <v>188693645.25999999</v>
      </c>
      <c r="Z56" s="8" t="s">
        <v>27</v>
      </c>
      <c r="AA56" s="8"/>
      <c r="AB56" s="8">
        <f>48801320.01-W56</f>
        <v>67736466.859999985</v>
      </c>
      <c r="AC56" s="8"/>
      <c r="AD56" s="8">
        <f>AC56-AB56</f>
        <v>-67736466.859999985</v>
      </c>
      <c r="AE56" s="10" t="s">
        <v>27</v>
      </c>
      <c r="AF56" s="10"/>
      <c r="AG56" s="8">
        <v>37165180</v>
      </c>
      <c r="AH56" s="8"/>
      <c r="AI56" s="8">
        <f>AH56-AG56</f>
        <v>-37165180</v>
      </c>
      <c r="AJ56" s="9">
        <f>AB56+AG56</f>
        <v>104901646.85999998</v>
      </c>
      <c r="AK56" s="8">
        <f>Y56+AJ56</f>
        <v>293595292.12</v>
      </c>
      <c r="AL56" s="10" t="s">
        <v>27</v>
      </c>
      <c r="AM56" s="10"/>
      <c r="AN56" s="8">
        <v>39776510.020000003</v>
      </c>
      <c r="AO56" s="8"/>
      <c r="AP56" s="8">
        <f>AO56-AN56</f>
        <v>-39776510.020000003</v>
      </c>
      <c r="AQ56" s="8" t="s">
        <v>27</v>
      </c>
      <c r="AR56" s="8"/>
      <c r="AS56" s="8">
        <v>39569120.060000002</v>
      </c>
      <c r="AT56" s="8"/>
      <c r="AU56" s="8">
        <f>AT56-AS56</f>
        <v>-39569120.060000002</v>
      </c>
      <c r="AV56" s="9">
        <f>AN56+AS56</f>
        <v>79345630.080000013</v>
      </c>
      <c r="AW56" s="10">
        <f>AK56+AV56</f>
        <v>372940922.20000005</v>
      </c>
      <c r="AX56" s="10"/>
      <c r="AY56" s="10"/>
      <c r="AZ56" s="8">
        <v>37311245.039999999</v>
      </c>
      <c r="BA56" s="8"/>
      <c r="BB56" s="8">
        <f>BA56-AZ56</f>
        <v>-37311245.039999999</v>
      </c>
      <c r="BC56" s="8" t="s">
        <v>27</v>
      </c>
      <c r="BD56" s="8"/>
      <c r="BE56" s="8">
        <v>42160937.759999998</v>
      </c>
      <c r="BF56" s="8"/>
      <c r="BG56" s="8">
        <f>BF56-BE56</f>
        <v>-42160937.759999998</v>
      </c>
      <c r="BH56" s="9">
        <f>AZ56+BE56</f>
        <v>79472182.799999997</v>
      </c>
      <c r="BI56" s="10">
        <f>AW56+BH56</f>
        <v>452413105.00000006</v>
      </c>
      <c r="BJ56" s="10" t="s">
        <v>27</v>
      </c>
      <c r="BK56" s="10"/>
      <c r="BL56" s="8">
        <v>48152947.560000002</v>
      </c>
      <c r="BM56" s="8"/>
      <c r="BN56" s="10">
        <f>BL56</f>
        <v>48152947.560000002</v>
      </c>
      <c r="BO56" s="10"/>
      <c r="BP56" s="10" t="s">
        <v>27</v>
      </c>
      <c r="BQ56" s="8">
        <v>62273307.579999998</v>
      </c>
      <c r="BR56" s="8"/>
      <c r="BS56" s="10">
        <f>BQ56</f>
        <v>62273307.579999998</v>
      </c>
      <c r="BT56" s="9">
        <f>SUM(M56+X56+AJ56+AV56+BH56+BL56+BQ56)</f>
        <v>562839360.1400001</v>
      </c>
      <c r="BU56" s="26">
        <f>F56+K56+Q56+V56+AC56+AH56+AO56+AT56+BA56+BF56+BM56+BR56</f>
        <v>188693645.25999999</v>
      </c>
      <c r="BV56" s="23">
        <f>BT56-BU56</f>
        <v>374145714.88000011</v>
      </c>
      <c r="IP56" s="3"/>
      <c r="IQ56" s="3"/>
      <c r="IR56" s="3"/>
      <c r="IS56" s="3"/>
      <c r="IT56" s="3"/>
    </row>
    <row r="57" spans="1:254" s="24" customFormat="1" ht="17.100000000000001" customHeight="1" x14ac:dyDescent="0.2">
      <c r="A57" s="14" t="s">
        <v>34</v>
      </c>
      <c r="B57" s="27">
        <f>B32</f>
        <v>557500000</v>
      </c>
      <c r="C57" s="8">
        <f>C32</f>
        <v>3512000</v>
      </c>
      <c r="D57" s="8">
        <f>D32</f>
        <v>3409615.3200000003</v>
      </c>
      <c r="E57" s="8">
        <f>E32</f>
        <v>47954266.850000001</v>
      </c>
      <c r="F57" s="8">
        <f>F32</f>
        <v>33272528.219999999</v>
      </c>
      <c r="G57" s="8">
        <f>C57-D57+E57-F57</f>
        <v>14784123.310000002</v>
      </c>
      <c r="H57" s="8">
        <f>H32</f>
        <v>3272384.6799999997</v>
      </c>
      <c r="I57" s="8">
        <f>I32</f>
        <v>3073370.58</v>
      </c>
      <c r="J57" s="8">
        <f>J32</f>
        <v>59382052.009999998</v>
      </c>
      <c r="K57" s="8">
        <f>K32</f>
        <v>33358708.060000002</v>
      </c>
      <c r="L57" s="8">
        <f>H57-I57+J57-K57</f>
        <v>26222358.049999997</v>
      </c>
      <c r="M57" s="9">
        <f>D57+F57+I57+K57</f>
        <v>73114222.180000007</v>
      </c>
      <c r="N57" s="8">
        <f>N32</f>
        <v>3389014.0999999996</v>
      </c>
      <c r="O57" s="8">
        <f t="shared" ref="O57" si="51">O32</f>
        <v>3064338.15</v>
      </c>
      <c r="P57" s="8">
        <f>P32</f>
        <v>115012956.88</v>
      </c>
      <c r="Q57" s="8">
        <f>Q32</f>
        <v>35694877.539999999</v>
      </c>
      <c r="R57" s="8">
        <f>SUM(N57-O57,P57-Q57)</f>
        <v>79642755.290000007</v>
      </c>
      <c r="S57" s="8">
        <f>S32</f>
        <v>3414675.9499999997</v>
      </c>
      <c r="T57" s="8">
        <f>T32</f>
        <v>2759519.25</v>
      </c>
      <c r="U57" s="8">
        <f>U39+U48</f>
        <v>117636100.69999999</v>
      </c>
      <c r="V57" s="8">
        <f>V32</f>
        <v>36272206.709999993</v>
      </c>
      <c r="W57" s="8">
        <f>SUM(S57-T57,U57-V57)</f>
        <v>82019050.689999998</v>
      </c>
      <c r="X57" s="9">
        <f>O57+Q57+T57+V57</f>
        <v>77790941.649999991</v>
      </c>
      <c r="Y57" s="8">
        <f>M57+X57</f>
        <v>150905163.82999998</v>
      </c>
      <c r="Z57" s="8">
        <f>Z32</f>
        <v>3445156.6999999997</v>
      </c>
      <c r="AA57" s="8">
        <f>AA32</f>
        <v>0</v>
      </c>
      <c r="AB57" s="8">
        <f>AB32-AB33</f>
        <v>117946893.98999998</v>
      </c>
      <c r="AC57" s="8">
        <f>AC32</f>
        <v>0</v>
      </c>
      <c r="AD57" s="8">
        <f>Z57-AA57+AB57-AC57</f>
        <v>121392050.68999998</v>
      </c>
      <c r="AE57" s="8">
        <f>AE32</f>
        <v>2790000</v>
      </c>
      <c r="AF57" s="8">
        <f>AF32</f>
        <v>0</v>
      </c>
      <c r="AG57" s="8">
        <f>AG32</f>
        <v>36374000</v>
      </c>
      <c r="AH57" s="8">
        <f>AH32</f>
        <v>0</v>
      </c>
      <c r="AI57" s="8">
        <f>AE57-AF57+AG57-AH57</f>
        <v>39164000</v>
      </c>
      <c r="AJ57" s="9">
        <f>Z57+AB57+AE57+AG57</f>
        <v>160556050.69</v>
      </c>
      <c r="AK57" s="8">
        <f>Y57+AJ57</f>
        <v>311461214.51999998</v>
      </c>
      <c r="AL57" s="8">
        <f>AL32</f>
        <v>2790000</v>
      </c>
      <c r="AM57" s="8">
        <f>AM32</f>
        <v>0</v>
      </c>
      <c r="AN57" s="8">
        <f>AN32</f>
        <v>37983000</v>
      </c>
      <c r="AO57" s="8">
        <f>AO32</f>
        <v>0</v>
      </c>
      <c r="AP57" s="8">
        <f>AL57-AM57+AN57-AO57</f>
        <v>40773000</v>
      </c>
      <c r="AQ57" s="8">
        <f>AQ32</f>
        <v>2790000</v>
      </c>
      <c r="AR57" s="8">
        <f>AR32</f>
        <v>0</v>
      </c>
      <c r="AS57" s="8">
        <f>AS32</f>
        <v>33918000</v>
      </c>
      <c r="AT57" s="8">
        <f>AT32</f>
        <v>0</v>
      </c>
      <c r="AU57" s="8">
        <f>AQ57-AR57+AS57-AT57</f>
        <v>36708000</v>
      </c>
      <c r="AV57" s="9">
        <f>AL57+AN57+AQ57+AS57</f>
        <v>77481000</v>
      </c>
      <c r="AW57" s="8">
        <f>AK57+AV57</f>
        <v>388942214.51999998</v>
      </c>
      <c r="AX57" s="8">
        <f>AX32</f>
        <v>2690000</v>
      </c>
      <c r="AY57" s="8">
        <f>AY32</f>
        <v>0</v>
      </c>
      <c r="AZ57" s="8">
        <f>AZ32</f>
        <v>38093000</v>
      </c>
      <c r="BA57" s="8">
        <f>BA32</f>
        <v>0</v>
      </c>
      <c r="BB57" s="8">
        <f>AX57-AY57+AZ57-BA57</f>
        <v>40783000</v>
      </c>
      <c r="BC57" s="8">
        <f>BC32</f>
        <v>2590000</v>
      </c>
      <c r="BD57" s="8">
        <f>BD32</f>
        <v>0</v>
      </c>
      <c r="BE57" s="8">
        <f>BE32</f>
        <v>37247000</v>
      </c>
      <c r="BF57" s="8">
        <f>BF32</f>
        <v>0</v>
      </c>
      <c r="BG57" s="8">
        <f>BC57-BD57+BE57-BF57</f>
        <v>39837000</v>
      </c>
      <c r="BH57" s="9">
        <f>AX57+AZ57+BC57+BE57</f>
        <v>80620000</v>
      </c>
      <c r="BI57" s="8">
        <f>AW57+BH57</f>
        <v>469562214.51999998</v>
      </c>
      <c r="BJ57" s="8">
        <f>BJ32</f>
        <v>2468000</v>
      </c>
      <c r="BK57" s="8" t="e">
        <f>#REF!</f>
        <v>#REF!</v>
      </c>
      <c r="BL57" s="8">
        <f>BL32</f>
        <v>38504850</v>
      </c>
      <c r="BM57" s="8" t="e">
        <f>#REF!</f>
        <v>#REF!</v>
      </c>
      <c r="BN57" s="8" t="e">
        <f>BJ57-BK57+BL57-BM57</f>
        <v>#REF!</v>
      </c>
      <c r="BO57" s="8">
        <f>BO32</f>
        <v>3197800</v>
      </c>
      <c r="BP57" s="8" t="e">
        <f>#REF!</f>
        <v>#REF!</v>
      </c>
      <c r="BQ57" s="8">
        <f>BQ32</f>
        <v>62548150</v>
      </c>
      <c r="BR57" s="8" t="e">
        <f>#REF!</f>
        <v>#REF!</v>
      </c>
      <c r="BS57" s="8" t="e">
        <f>BO57-BP57+BQ57-BR57</f>
        <v>#REF!</v>
      </c>
      <c r="BT57" s="9">
        <f>SUM(M57+X57+AJ57+AV57+BH57+BL57+BQ57+BJ57+BO57)</f>
        <v>576281014.51999998</v>
      </c>
      <c r="BU57" s="28" t="e">
        <f>#REF!--#REF!</f>
        <v>#REF!</v>
      </c>
      <c r="BV57" s="23" t="e">
        <f>BT57-BU57</f>
        <v>#REF!</v>
      </c>
      <c r="IP57" s="3"/>
      <c r="IQ57" s="3"/>
      <c r="IR57" s="3"/>
      <c r="IS57" s="3"/>
      <c r="IT57" s="3"/>
    </row>
    <row r="58" spans="1:254" s="24" customFormat="1" ht="17.100000000000001" customHeight="1" x14ac:dyDescent="0.2">
      <c r="A58" s="14" t="s">
        <v>61</v>
      </c>
      <c r="B58" s="27"/>
      <c r="C58" s="8"/>
      <c r="D58" s="8"/>
      <c r="E58" s="8">
        <f>E56-C57-E57</f>
        <v>15695187.330000006</v>
      </c>
      <c r="F58" s="8">
        <f>F56-D57-F57</f>
        <v>27610840.880000003</v>
      </c>
      <c r="G58" s="8"/>
      <c r="H58" s="8"/>
      <c r="I58" s="8"/>
      <c r="J58" s="8">
        <f>J56-H57-J57</f>
        <v>-19727743.929999992</v>
      </c>
      <c r="K58" s="8">
        <f>K56-I57-K57</f>
        <v>-1337713.3299999982</v>
      </c>
      <c r="L58" s="8"/>
      <c r="M58" s="9">
        <f>M56-M57</f>
        <v>26273127.549999997</v>
      </c>
      <c r="N58" s="8"/>
      <c r="O58" s="8"/>
      <c r="P58" s="8">
        <f>P56-N57-P57</f>
        <v>-58972441.289999999</v>
      </c>
      <c r="Q58" s="8">
        <f>Q56-O57-Q57</f>
        <v>2300401.6799999997</v>
      </c>
      <c r="R58" s="8"/>
      <c r="S58" s="8"/>
      <c r="T58" s="8"/>
      <c r="U58" s="8">
        <f>U56-S57-U57</f>
        <v>-53868951.640000001</v>
      </c>
      <c r="V58" s="8">
        <f>V56-T57-V57</f>
        <v>9214952.200000003</v>
      </c>
      <c r="W58" s="8"/>
      <c r="X58" s="9">
        <f>X56-X57</f>
        <v>11515353.88000001</v>
      </c>
      <c r="Y58" s="8"/>
      <c r="Z58" s="8"/>
      <c r="AA58" s="8"/>
      <c r="AB58" s="8">
        <f>AB56-Z57-AB57</f>
        <v>-53655583.829999998</v>
      </c>
      <c r="AC58" s="8">
        <f>V59</f>
        <v>82261438.799999997</v>
      </c>
      <c r="AD58" s="8"/>
      <c r="AE58" s="8"/>
      <c r="AF58" s="8"/>
      <c r="AG58" s="8">
        <f>AG56-AE57-AG57</f>
        <v>-1998820</v>
      </c>
      <c r="AH58" s="8">
        <f>AC59</f>
        <v>82261438.799999997</v>
      </c>
      <c r="AI58" s="8"/>
      <c r="AJ58" s="9">
        <f>AJ56-AJ57</f>
        <v>-55654403.830000013</v>
      </c>
      <c r="AK58" s="8"/>
      <c r="AL58" s="8"/>
      <c r="AM58" s="8"/>
      <c r="AN58" s="8">
        <f>AN56-AL57-AN57</f>
        <v>-996489.97999999672</v>
      </c>
      <c r="AO58" s="8">
        <f>AH59</f>
        <v>82261438.799999997</v>
      </c>
      <c r="AP58" s="8"/>
      <c r="AQ58" s="8"/>
      <c r="AR58" s="8"/>
      <c r="AS58" s="8">
        <f>AS56-AQ57-AS57</f>
        <v>2861120.0600000024</v>
      </c>
      <c r="AT58" s="8">
        <f>AO59</f>
        <v>82261438.799999997</v>
      </c>
      <c r="AU58" s="8"/>
      <c r="AV58" s="9">
        <f>AV56-AV57</f>
        <v>1864630.0800000131</v>
      </c>
      <c r="AW58" s="8"/>
      <c r="AX58" s="8"/>
      <c r="AY58" s="8"/>
      <c r="AZ58" s="8">
        <f>AZ56-AX57-AZ57</f>
        <v>-3471754.9600000009</v>
      </c>
      <c r="BA58" s="8">
        <f>AT59</f>
        <v>82261438.799999997</v>
      </c>
      <c r="BB58" s="8"/>
      <c r="BC58" s="8"/>
      <c r="BD58" s="8"/>
      <c r="BE58" s="8">
        <f>BE56-BC57-BE57</f>
        <v>2323937.7599999979</v>
      </c>
      <c r="BF58" s="8">
        <f>BA59</f>
        <v>82261438.799999997</v>
      </c>
      <c r="BG58" s="8"/>
      <c r="BH58" s="9">
        <f>BH56-BH57</f>
        <v>-1147817.200000003</v>
      </c>
      <c r="BI58" s="8"/>
      <c r="BJ58" s="8"/>
      <c r="BK58" s="8"/>
      <c r="BL58" s="8">
        <f>BL56-BJ57-BL57</f>
        <v>7180097.5600000024</v>
      </c>
      <c r="BM58" s="8"/>
      <c r="BN58" s="8"/>
      <c r="BO58" s="8"/>
      <c r="BP58" s="8"/>
      <c r="BQ58" s="8">
        <f>BQ56-BO57-BQ57</f>
        <v>-3472642.4200000018</v>
      </c>
      <c r="BR58" s="8"/>
      <c r="BS58" s="8"/>
      <c r="BT58" s="9">
        <f>BT56-BT57</f>
        <v>-13441654.379999876</v>
      </c>
      <c r="BU58" s="28"/>
      <c r="BV58" s="23"/>
      <c r="IP58" s="3"/>
      <c r="IQ58" s="3"/>
      <c r="IR58" s="3"/>
      <c r="IS58" s="3"/>
      <c r="IT58" s="3"/>
    </row>
    <row r="59" spans="1:254" s="24" customFormat="1" ht="14.1" customHeight="1" x14ac:dyDescent="0.2">
      <c r="A59" s="14" t="s">
        <v>60</v>
      </c>
      <c r="B59" s="9">
        <f>B56-B57</f>
        <v>0</v>
      </c>
      <c r="C59" s="9"/>
      <c r="D59" s="9"/>
      <c r="E59" s="8">
        <f>B60+E58</f>
        <v>60168144.700000003</v>
      </c>
      <c r="F59" s="8">
        <f>F58+E60</f>
        <v>72083798.25</v>
      </c>
      <c r="G59" s="8"/>
      <c r="H59" s="8"/>
      <c r="I59" s="8"/>
      <c r="J59" s="8">
        <f>J58+F59</f>
        <v>52356054.320000008</v>
      </c>
      <c r="K59" s="8">
        <f>K58+F59</f>
        <v>70746084.920000002</v>
      </c>
      <c r="L59" s="8"/>
      <c r="M59" s="9">
        <f>M58+E60</f>
        <v>70746084.919999987</v>
      </c>
      <c r="N59" s="11"/>
      <c r="O59" s="11"/>
      <c r="P59" s="8">
        <f>P58+K59</f>
        <v>11773643.630000003</v>
      </c>
      <c r="Q59" s="8">
        <f>Q58+K59</f>
        <v>73046486.599999994</v>
      </c>
      <c r="R59" s="8"/>
      <c r="S59" s="8"/>
      <c r="T59" s="8"/>
      <c r="U59" s="8">
        <f>U58+P59</f>
        <v>-42095308.009999998</v>
      </c>
      <c r="V59" s="8">
        <f>V58+Q59</f>
        <v>82261438.799999997</v>
      </c>
      <c r="W59" s="8"/>
      <c r="X59" s="9">
        <f>X58+M59</f>
        <v>82261438.799999997</v>
      </c>
      <c r="Y59" s="8" t="e">
        <f>Y56+Y60+Y57+#REF!</f>
        <v>#REF!</v>
      </c>
      <c r="Z59" s="8"/>
      <c r="AA59" s="8"/>
      <c r="AB59" s="8">
        <f>AB58+U59</f>
        <v>-95750891.840000004</v>
      </c>
      <c r="AC59" s="8">
        <f>AC56+AC60-AA57-AC57+AC58</f>
        <v>82261438.799999997</v>
      </c>
      <c r="AD59" s="8"/>
      <c r="AE59" s="8"/>
      <c r="AF59" s="8"/>
      <c r="AG59" s="8">
        <f>AG58+AB59</f>
        <v>-97749711.840000004</v>
      </c>
      <c r="AH59" s="8">
        <f>AH56+AH60-AF57-AH57+AH58</f>
        <v>82261438.799999997</v>
      </c>
      <c r="AI59" s="8"/>
      <c r="AJ59" s="9">
        <f>AJ58+X59</f>
        <v>26607034.969999984</v>
      </c>
      <c r="AK59" s="8" t="e">
        <f>AK56+AK60+AK57+#REF!-#REF!-#REF!-#REF!-#REF!</f>
        <v>#REF!</v>
      </c>
      <c r="AL59" s="8"/>
      <c r="AM59" s="8"/>
      <c r="AN59" s="8">
        <f>AN58+AG59</f>
        <v>-98746201.819999993</v>
      </c>
      <c r="AO59" s="8">
        <f>AO56+AO60-AM57-AO57+AO58</f>
        <v>82261438.799999997</v>
      </c>
      <c r="AP59" s="8"/>
      <c r="AQ59" s="8"/>
      <c r="AR59" s="8"/>
      <c r="AS59" s="8">
        <f>AS58+AN59</f>
        <v>-95885081.75999999</v>
      </c>
      <c r="AT59" s="8">
        <f>AT56+AT60-AR57-AT57+AT58</f>
        <v>82261438.799999997</v>
      </c>
      <c r="AU59" s="8"/>
      <c r="AV59" s="9">
        <f>AV58+AJ59</f>
        <v>28471665.049999997</v>
      </c>
      <c r="AW59" s="8" t="e">
        <f>AW56+AW60+AW57+#REF!-#REF!-#REF!-#REF!-#REF!</f>
        <v>#REF!</v>
      </c>
      <c r="AX59" s="8"/>
      <c r="AY59" s="8"/>
      <c r="AZ59" s="8">
        <f>AZ58+AS59</f>
        <v>-99356836.719999999</v>
      </c>
      <c r="BA59" s="8">
        <f>BA56+BA60-AY57-BA57+BA58</f>
        <v>82261438.799999997</v>
      </c>
      <c r="BB59" s="8"/>
      <c r="BC59" s="8" t="s">
        <v>27</v>
      </c>
      <c r="BD59" s="8" t="s">
        <v>27</v>
      </c>
      <c r="BE59" s="8">
        <f>BE58+AZ59</f>
        <v>-97032898.960000008</v>
      </c>
      <c r="BF59" s="8">
        <f>BF56+BF60-BD57-BF57+BF58</f>
        <v>82261438.799999997</v>
      </c>
      <c r="BG59" s="8"/>
      <c r="BH59" s="9">
        <f>BH58+AV59</f>
        <v>27323847.849999994</v>
      </c>
      <c r="BI59" s="8" t="e">
        <f>BI56+BI60+BI57+#REF!-#REF!-#REF!-#REF!-#REF!</f>
        <v>#REF!</v>
      </c>
      <c r="BJ59" s="8"/>
      <c r="BK59" s="8"/>
      <c r="BL59" s="8">
        <f>BL58+BE59</f>
        <v>-89852801.400000006</v>
      </c>
      <c r="BM59" s="8" t="e">
        <f>BM56-SUM(BM57:BM58)</f>
        <v>#REF!</v>
      </c>
      <c r="BN59" s="8" t="e">
        <f>BN56-SUM(BN57:BN58)</f>
        <v>#REF!</v>
      </c>
      <c r="BO59" s="8"/>
      <c r="BP59" s="8"/>
      <c r="BQ59" s="8">
        <f>BQ58+BL59</f>
        <v>-93325443.820000008</v>
      </c>
      <c r="BR59" s="8" t="e">
        <f>BR56-SUM(BR57:BR58)</f>
        <v>#REF!</v>
      </c>
      <c r="BS59" s="8" t="e">
        <f>BS56-SUM(BS57:BS58)</f>
        <v>#REF!</v>
      </c>
      <c r="BT59" s="9">
        <f>BT58+B60</f>
        <v>31031302.990000121</v>
      </c>
      <c r="BU59" s="28" t="e">
        <f>BU56-SUM(BU57:BU58)</f>
        <v>#REF!</v>
      </c>
      <c r="BV59" s="23" t="e">
        <f>BT59-BU59</f>
        <v>#REF!</v>
      </c>
      <c r="IP59" s="3"/>
      <c r="IQ59" s="3"/>
      <c r="IR59" s="3"/>
      <c r="IS59" s="3"/>
      <c r="IT59" s="3"/>
    </row>
    <row r="60" spans="1:254" s="24" customFormat="1" ht="12.75" customHeight="1" x14ac:dyDescent="0.2">
      <c r="A60" s="48" t="s">
        <v>59</v>
      </c>
      <c r="B60" s="49">
        <v>44472957.369999997</v>
      </c>
      <c r="C60" s="50"/>
      <c r="D60" s="50"/>
      <c r="E60" s="50">
        <f>B60</f>
        <v>44472957.369999997</v>
      </c>
      <c r="F60" s="50">
        <v>6006766.8499999996</v>
      </c>
      <c r="G60" s="50">
        <f>E60-F60</f>
        <v>38466190.519999996</v>
      </c>
      <c r="H60" s="50"/>
      <c r="I60" s="50"/>
      <c r="J60" s="50">
        <f>G60</f>
        <v>38466190.519999996</v>
      </c>
      <c r="K60" s="50">
        <v>2231600.4</v>
      </c>
      <c r="L60" s="50">
        <f>J60-K60</f>
        <v>36234590.119999997</v>
      </c>
      <c r="M60" s="50">
        <f>F60+K60</f>
        <v>8238367.25</v>
      </c>
      <c r="N60" s="51"/>
      <c r="O60" s="51"/>
      <c r="P60" s="50">
        <f>B60-M60</f>
        <v>36234590.119999997</v>
      </c>
      <c r="Q60" s="50">
        <v>4967265.7699999996</v>
      </c>
      <c r="R60" s="50">
        <f>P60-Q60</f>
        <v>31267324.349999998</v>
      </c>
      <c r="S60" s="50"/>
      <c r="T60" s="50"/>
      <c r="U60" s="50">
        <f>R60</f>
        <v>31267324.349999998</v>
      </c>
      <c r="V60" s="50">
        <v>236021.36</v>
      </c>
      <c r="W60" s="50">
        <f>U60-V60</f>
        <v>31031302.989999998</v>
      </c>
      <c r="X60" s="50">
        <f>Q60+V60</f>
        <v>5203287.13</v>
      </c>
      <c r="Y60" s="49">
        <f>X60</f>
        <v>5203287.13</v>
      </c>
      <c r="Z60" s="50"/>
      <c r="AA60" s="50"/>
      <c r="AB60" s="50"/>
      <c r="AC60" s="50"/>
      <c r="AD60" s="50">
        <f>W60-AC60</f>
        <v>31031302.989999998</v>
      </c>
      <c r="AE60" s="50"/>
      <c r="AF60" s="50"/>
      <c r="AG60" s="50"/>
      <c r="AH60" s="50"/>
      <c r="AI60" s="50">
        <f>AG60-AH60</f>
        <v>0</v>
      </c>
      <c r="AJ60" s="50">
        <f>AC60+AH60</f>
        <v>0</v>
      </c>
      <c r="AK60" s="50">
        <f>Y60+AJ60</f>
        <v>5203287.13</v>
      </c>
      <c r="AL60" s="50"/>
      <c r="AM60" s="50"/>
      <c r="AN60" s="50"/>
      <c r="AO60" s="50"/>
      <c r="AP60" s="50">
        <f>AN60-AO60</f>
        <v>0</v>
      </c>
      <c r="AQ60" s="50"/>
      <c r="AR60" s="50"/>
      <c r="AS60" s="50"/>
      <c r="AT60" s="50"/>
      <c r="AU60" s="50">
        <f>AS60-AT60</f>
        <v>0</v>
      </c>
      <c r="AV60" s="50"/>
      <c r="AW60" s="50">
        <f>AK60+AV60</f>
        <v>5203287.13</v>
      </c>
      <c r="AX60" s="50"/>
      <c r="AY60" s="50"/>
      <c r="AZ60" s="50"/>
      <c r="BA60" s="50"/>
      <c r="BB60" s="50">
        <f>AU60-BA60</f>
        <v>0</v>
      </c>
      <c r="BC60" s="50"/>
      <c r="BD60" s="50"/>
      <c r="BE60" s="50"/>
      <c r="BF60" s="50"/>
      <c r="BG60" s="50">
        <f>BE60-BF60</f>
        <v>0</v>
      </c>
      <c r="BH60" s="50">
        <f>BA60+BF60</f>
        <v>0</v>
      </c>
      <c r="BI60" s="50">
        <f>AW60+BH60</f>
        <v>5203287.13</v>
      </c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8"/>
      <c r="BV60" s="8">
        <f>BT60-BU60</f>
        <v>0</v>
      </c>
      <c r="IP60" s="3"/>
      <c r="IQ60" s="3"/>
      <c r="IR60" s="3"/>
      <c r="IS60" s="3"/>
      <c r="IT60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  <row r="76" spans="21:253" x14ac:dyDescent="0.2">
      <c r="U76" s="20"/>
      <c r="W76" s="19"/>
      <c r="X76" s="24"/>
      <c r="AG76" s="20"/>
      <c r="AI76" s="19"/>
      <c r="AJ76" s="24"/>
      <c r="AL76" s="20"/>
      <c r="AQ76" s="24"/>
      <c r="AS76" s="20"/>
      <c r="AU76" s="19"/>
      <c r="AV76" s="24"/>
      <c r="AX76" s="20"/>
      <c r="BC76" s="24"/>
      <c r="BG76" s="16"/>
      <c r="BH76" s="24"/>
      <c r="BJ76" s="20"/>
      <c r="BO76" s="24"/>
      <c r="BV76" s="16"/>
      <c r="BW76" s="2"/>
      <c r="IS76" s="3"/>
    </row>
    <row r="77" spans="21:253" x14ac:dyDescent="0.2">
      <c r="U77" s="20"/>
      <c r="W77" s="19"/>
      <c r="X77" s="24"/>
      <c r="AG77" s="20"/>
      <c r="AI77" s="19"/>
      <c r="AJ77" s="24"/>
      <c r="AL77" s="20"/>
      <c r="AQ77" s="24"/>
      <c r="AS77" s="20"/>
      <c r="AU77" s="19"/>
      <c r="AV77" s="24"/>
      <c r="AX77" s="20"/>
      <c r="BC77" s="24"/>
      <c r="BG77" s="16"/>
      <c r="BH77" s="24"/>
      <c r="BJ77" s="20"/>
      <c r="BO77" s="24"/>
      <c r="BV77" s="16"/>
      <c r="BW77" s="2"/>
      <c r="IS77" s="3"/>
    </row>
    <row r="78" spans="21:253" x14ac:dyDescent="0.2">
      <c r="U78" s="20"/>
      <c r="W78" s="19"/>
      <c r="X78" s="24"/>
      <c r="AG78" s="20"/>
      <c r="AI78" s="19"/>
      <c r="AJ78" s="24"/>
      <c r="AL78" s="20"/>
      <c r="AQ78" s="24"/>
      <c r="AS78" s="20"/>
      <c r="AU78" s="19"/>
      <c r="AV78" s="24"/>
      <c r="AX78" s="20"/>
      <c r="BC78" s="24"/>
      <c r="BG78" s="16"/>
      <c r="BH78" s="24"/>
      <c r="BJ78" s="20"/>
      <c r="BO78" s="24"/>
      <c r="BV78" s="16"/>
      <c r="BW78" s="2"/>
      <c r="IS78" s="3"/>
    </row>
    <row r="79" spans="21:253" x14ac:dyDescent="0.2">
      <c r="U79" s="20"/>
      <c r="W79" s="19"/>
      <c r="X79" s="24"/>
      <c r="AG79" s="20"/>
      <c r="AI79" s="19"/>
      <c r="AJ79" s="24"/>
      <c r="AL79" s="20"/>
      <c r="AQ79" s="24"/>
      <c r="AS79" s="20"/>
      <c r="AU79" s="19"/>
      <c r="AV79" s="24"/>
      <c r="AX79" s="20"/>
      <c r="BC79" s="24"/>
      <c r="BG79" s="16"/>
      <c r="BH79" s="24"/>
      <c r="BJ79" s="20"/>
      <c r="BO79" s="24"/>
      <c r="BV79" s="16"/>
      <c r="BW79" s="2"/>
      <c r="IS79" s="3"/>
    </row>
    <row r="80" spans="21:253" x14ac:dyDescent="0.2">
      <c r="U80" s="20"/>
      <c r="W80" s="19"/>
      <c r="X80" s="24"/>
      <c r="AG80" s="20"/>
      <c r="AI80" s="19"/>
      <c r="AJ80" s="24"/>
      <c r="AL80" s="20"/>
      <c r="AQ80" s="24"/>
      <c r="AS80" s="20"/>
      <c r="AU80" s="19"/>
      <c r="AV80" s="24"/>
      <c r="AX80" s="20"/>
      <c r="BC80" s="24"/>
      <c r="BG80" s="16"/>
      <c r="BH80" s="24"/>
      <c r="BJ80" s="20"/>
      <c r="BO80" s="24"/>
      <c r="BV80" s="16"/>
      <c r="BW80" s="2"/>
      <c r="IS80" s="3"/>
    </row>
    <row r="81" spans="21:253" x14ac:dyDescent="0.2">
      <c r="U81" s="20"/>
      <c r="W81" s="19"/>
      <c r="X81" s="24"/>
      <c r="AG81" s="20"/>
      <c r="AI81" s="19"/>
      <c r="AJ81" s="24"/>
      <c r="AL81" s="20"/>
      <c r="AQ81" s="24"/>
      <c r="AS81" s="20"/>
      <c r="AU81" s="19"/>
      <c r="AV81" s="24"/>
      <c r="AX81" s="20"/>
      <c r="BC81" s="24"/>
      <c r="BG81" s="16"/>
      <c r="BH81" s="24"/>
      <c r="BJ81" s="20"/>
      <c r="BO81" s="24"/>
      <c r="BV81" s="16"/>
      <c r="BW81" s="2"/>
      <c r="IS81" s="3"/>
    </row>
    <row r="82" spans="21:253" x14ac:dyDescent="0.2">
      <c r="U82" s="20"/>
      <c r="W82" s="19"/>
      <c r="X82" s="24"/>
      <c r="AG82" s="20"/>
      <c r="AI82" s="19"/>
      <c r="AJ82" s="24"/>
      <c r="AL82" s="20"/>
      <c r="AQ82" s="24"/>
      <c r="AS82" s="20"/>
      <c r="AU82" s="19"/>
      <c r="AV82" s="24"/>
      <c r="AX82" s="20"/>
      <c r="BC82" s="24"/>
      <c r="BG82" s="16"/>
      <c r="BH82" s="24"/>
      <c r="BJ82" s="20"/>
      <c r="BO82" s="24"/>
      <c r="BV82" s="16"/>
      <c r="BW82" s="2"/>
      <c r="IS82" s="3"/>
    </row>
    <row r="83" spans="21:253" x14ac:dyDescent="0.2">
      <c r="U83" s="20"/>
      <c r="W83" s="19"/>
      <c r="X83" s="24"/>
      <c r="AG83" s="20"/>
      <c r="AI83" s="19"/>
      <c r="AJ83" s="24"/>
      <c r="AL83" s="20"/>
      <c r="AQ83" s="24"/>
      <c r="AS83" s="20"/>
      <c r="AU83" s="19"/>
      <c r="AV83" s="24"/>
      <c r="AX83" s="20"/>
      <c r="BC83" s="24"/>
      <c r="BG83" s="16"/>
      <c r="BH83" s="24"/>
      <c r="BJ83" s="20"/>
      <c r="BO83" s="24"/>
      <c r="BV83" s="16"/>
      <c r="BW83" s="2"/>
      <c r="IS83" s="3"/>
    </row>
    <row r="84" spans="21:253" x14ac:dyDescent="0.2">
      <c r="U84" s="20"/>
      <c r="W84" s="19"/>
      <c r="X84" s="24"/>
      <c r="AG84" s="20"/>
      <c r="AI84" s="19"/>
      <c r="AJ84" s="24"/>
      <c r="AL84" s="20"/>
      <c r="AQ84" s="24"/>
      <c r="AS84" s="20"/>
      <c r="AU84" s="19"/>
      <c r="AV84" s="24"/>
      <c r="AX84" s="20"/>
      <c r="BC84" s="24"/>
      <c r="BG84" s="16"/>
      <c r="BH84" s="24"/>
      <c r="BJ84" s="20"/>
      <c r="BO84" s="24"/>
      <c r="BV84" s="16"/>
      <c r="BW84" s="2"/>
      <c r="IS84" s="3"/>
    </row>
  </sheetData>
  <mergeCells count="232">
    <mergeCell ref="BO53:BS53"/>
    <mergeCell ref="BO45:BP45"/>
    <mergeCell ref="BB54:BB55"/>
    <mergeCell ref="BC54:BD54"/>
    <mergeCell ref="BE54:BF54"/>
    <mergeCell ref="BG54:BG55"/>
    <mergeCell ref="BJ54:BK54"/>
    <mergeCell ref="BT3:BT4"/>
    <mergeCell ref="BT54:BT55"/>
    <mergeCell ref="BT36:BT37"/>
    <mergeCell ref="BT45:BT46"/>
    <mergeCell ref="BO54:BP54"/>
    <mergeCell ref="BQ54:BS54"/>
    <mergeCell ref="BO35:BS35"/>
    <mergeCell ref="BL54:BN54"/>
    <mergeCell ref="BH53:BH55"/>
    <mergeCell ref="BI53:BI55"/>
    <mergeCell ref="BJ53:BN53"/>
    <mergeCell ref="AX53:BB53"/>
    <mergeCell ref="BL45:BN45"/>
    <mergeCell ref="BH44:BH46"/>
    <mergeCell ref="BI44:BI46"/>
    <mergeCell ref="BC35:BG35"/>
    <mergeCell ref="BH35:BH37"/>
    <mergeCell ref="AW53:AW55"/>
    <mergeCell ref="S54:T54"/>
    <mergeCell ref="U54:V54"/>
    <mergeCell ref="W54:W55"/>
    <mergeCell ref="Z54:AA54"/>
    <mergeCell ref="AB54:AC54"/>
    <mergeCell ref="X53:X55"/>
    <mergeCell ref="Y53:Y55"/>
    <mergeCell ref="Z53:AD53"/>
    <mergeCell ref="AE54:AF54"/>
    <mergeCell ref="AD54:AD55"/>
    <mergeCell ref="H54:I54"/>
    <mergeCell ref="J54:K54"/>
    <mergeCell ref="N54:O54"/>
    <mergeCell ref="AG54:AH54"/>
    <mergeCell ref="AI54:AI55"/>
    <mergeCell ref="BQ45:BS45"/>
    <mergeCell ref="AI45:AI46"/>
    <mergeCell ref="AL45:AM45"/>
    <mergeCell ref="AN45:AO45"/>
    <mergeCell ref="BE45:BF45"/>
    <mergeCell ref="BG45:BG46"/>
    <mergeCell ref="AW44:AW46"/>
    <mergeCell ref="AX44:BB44"/>
    <mergeCell ref="BC44:BG44"/>
    <mergeCell ref="AL44:AP44"/>
    <mergeCell ref="BJ44:BN44"/>
    <mergeCell ref="AX45:AY45"/>
    <mergeCell ref="AZ45:BA45"/>
    <mergeCell ref="BB45:BB46"/>
    <mergeCell ref="BC45:BD45"/>
    <mergeCell ref="BJ45:BK45"/>
    <mergeCell ref="AL53:AP53"/>
    <mergeCell ref="AQ53:AU53"/>
    <mergeCell ref="AV53:AV55"/>
    <mergeCell ref="A53:B55"/>
    <mergeCell ref="C53:F53"/>
    <mergeCell ref="H53:L53"/>
    <mergeCell ref="M53:M55"/>
    <mergeCell ref="N53:R53"/>
    <mergeCell ref="S53:W53"/>
    <mergeCell ref="L54:L55"/>
    <mergeCell ref="BC53:BG53"/>
    <mergeCell ref="AL54:AM54"/>
    <mergeCell ref="AN54:AO54"/>
    <mergeCell ref="AP54:AP55"/>
    <mergeCell ref="AQ54:AR54"/>
    <mergeCell ref="AS54:AT54"/>
    <mergeCell ref="AU54:AU55"/>
    <mergeCell ref="AX54:AY54"/>
    <mergeCell ref="AZ54:BA54"/>
    <mergeCell ref="AK53:AK55"/>
    <mergeCell ref="P54:Q54"/>
    <mergeCell ref="R54:R55"/>
    <mergeCell ref="AE53:AI53"/>
    <mergeCell ref="AJ53:AJ55"/>
    <mergeCell ref="C54:D54"/>
    <mergeCell ref="E54:F54"/>
    <mergeCell ref="G54:G55"/>
    <mergeCell ref="A44:B46"/>
    <mergeCell ref="C44:F44"/>
    <mergeCell ref="H44:L44"/>
    <mergeCell ref="M44:M46"/>
    <mergeCell ref="N44:R44"/>
    <mergeCell ref="AV44:AV46"/>
    <mergeCell ref="AP45:AP46"/>
    <mergeCell ref="AQ45:AR45"/>
    <mergeCell ref="AS45:AT45"/>
    <mergeCell ref="AU45:AU46"/>
    <mergeCell ref="X44:X46"/>
    <mergeCell ref="Y44:Y46"/>
    <mergeCell ref="Z44:AD44"/>
    <mergeCell ref="AE44:AI44"/>
    <mergeCell ref="AJ44:AJ46"/>
    <mergeCell ref="C45:D45"/>
    <mergeCell ref="E45:F45"/>
    <mergeCell ref="G45:G46"/>
    <mergeCell ref="H45:I45"/>
    <mergeCell ref="J45:K45"/>
    <mergeCell ref="L45:L46"/>
    <mergeCell ref="N45:O45"/>
    <mergeCell ref="P45:Q45"/>
    <mergeCell ref="AG45:AH45"/>
    <mergeCell ref="BQ36:BS36"/>
    <mergeCell ref="Z36:AA36"/>
    <mergeCell ref="AB36:AC36"/>
    <mergeCell ref="AD36:AD37"/>
    <mergeCell ref="AE36:AF36"/>
    <mergeCell ref="AG36:AH36"/>
    <mergeCell ref="S44:W44"/>
    <mergeCell ref="R45:R46"/>
    <mergeCell ref="S45:T45"/>
    <mergeCell ref="U45:V45"/>
    <mergeCell ref="W45:W46"/>
    <mergeCell ref="BE36:BF36"/>
    <mergeCell ref="AI36:AI37"/>
    <mergeCell ref="AJ35:AJ37"/>
    <mergeCell ref="AK35:AK37"/>
    <mergeCell ref="AL35:AP35"/>
    <mergeCell ref="AK44:AK46"/>
    <mergeCell ref="Z45:AA45"/>
    <mergeCell ref="AB45:AC45"/>
    <mergeCell ref="AD45:AD46"/>
    <mergeCell ref="AE45:AF45"/>
    <mergeCell ref="AQ44:AU44"/>
    <mergeCell ref="BO44:BS44"/>
    <mergeCell ref="AE35:AI35"/>
    <mergeCell ref="BO36:BP36"/>
    <mergeCell ref="BI35:BI37"/>
    <mergeCell ref="BJ35:BN35"/>
    <mergeCell ref="AW35:AW37"/>
    <mergeCell ref="AX35:BB35"/>
    <mergeCell ref="AZ36:BA36"/>
    <mergeCell ref="BB36:BB37"/>
    <mergeCell ref="BC36:BD36"/>
    <mergeCell ref="BG36:BG37"/>
    <mergeCell ref="BJ36:BK36"/>
    <mergeCell ref="BL36:BN36"/>
    <mergeCell ref="AQ35:AU35"/>
    <mergeCell ref="AV35:AV37"/>
    <mergeCell ref="AL36:AM36"/>
    <mergeCell ref="AN36:AO36"/>
    <mergeCell ref="AP36:AP37"/>
    <mergeCell ref="R36:R37"/>
    <mergeCell ref="BO3:BP3"/>
    <mergeCell ref="A35:B37"/>
    <mergeCell ref="AI3:AI4"/>
    <mergeCell ref="AS3:AT3"/>
    <mergeCell ref="AU3:AU4"/>
    <mergeCell ref="AX3:AY3"/>
    <mergeCell ref="AZ3:BA3"/>
    <mergeCell ref="AS36:AT36"/>
    <mergeCell ref="AU36:AU37"/>
    <mergeCell ref="Y35:Y37"/>
    <mergeCell ref="Z35:AD35"/>
    <mergeCell ref="AX36:AY36"/>
    <mergeCell ref="C35:F35"/>
    <mergeCell ref="H35:L35"/>
    <mergeCell ref="M35:M37"/>
    <mergeCell ref="N35:R35"/>
    <mergeCell ref="S35:W35"/>
    <mergeCell ref="X35:X37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36:AR36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36:F36"/>
    <mergeCell ref="G36:G37"/>
    <mergeCell ref="H36:I36"/>
    <mergeCell ref="L36:L37"/>
    <mergeCell ref="N36:O36"/>
    <mergeCell ref="S36:T36"/>
    <mergeCell ref="U36:V36"/>
    <mergeCell ref="W36:W37"/>
    <mergeCell ref="J36:K36"/>
    <mergeCell ref="P36:Q36"/>
    <mergeCell ref="C36:D36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r:id="rId1"/>
  <headerFooter alignWithMargins="0">
    <oddHeader>&amp;C&amp;"-,Regular"&amp;12ANEXO II</oddHeader>
  </headerFooter>
  <rowBreaks count="1" manualBreakCount="1">
    <brk id="34" max="71" man="1"/>
  </rowBreaks>
  <colBreaks count="2" manualBreakCount="2">
    <brk id="24" max="56" man="1"/>
    <brk id="4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>
      <selection activeCell="A45" sqref="A45:A46"/>
    </sheetView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2017-05-31T17:30:53Z</cp:lastPrinted>
  <dcterms:created xsi:type="dcterms:W3CDTF">2007-05-23T16:50:29Z</dcterms:created>
  <dcterms:modified xsi:type="dcterms:W3CDTF">2017-06-12T17:37:44Z</dcterms:modified>
</cp:coreProperties>
</file>