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50" windowWidth="15480" windowHeight="7590" firstSheet="5" activeTab="6"/>
  </bookViews>
  <sheets>
    <sheet name="Demonstrativo I  " sheetId="1" r:id="rId1"/>
    <sheet name="Demonstrativo II " sheetId="2" r:id="rId2"/>
    <sheet name="Demonstrativo III" sheetId="3" r:id="rId3"/>
    <sheet name="Demonstrativo IV" sheetId="4" r:id="rId4"/>
    <sheet name="Demonstrativo V" sheetId="5" r:id="rId5"/>
    <sheet name="Demonstrativo VI" sheetId="6" r:id="rId6"/>
    <sheet name="Demonstrativo VI  2" sheetId="7" r:id="rId7"/>
    <sheet name="Demonstrativo VII" sheetId="8" r:id="rId8"/>
    <sheet name="Demonstrativo VIII" sheetId="9" r:id="rId9"/>
    <sheet name="Plan1" sheetId="10" r:id="rId10"/>
  </sheets>
  <externalReferences>
    <externalReference r:id="rId13"/>
  </externalReferences>
  <definedNames>
    <definedName name="_xlnm.Print_Titles" localSheetId="6">'Demonstrativo VI  2'!$1:$5</definedName>
    <definedName name="_xlnm.Print_Titles" localSheetId="7">'Demonstrativo VII'!$2:$4</definedName>
  </definedNames>
  <calcPr fullCalcOnLoad="1"/>
</workbook>
</file>

<file path=xl/sharedStrings.xml><?xml version="1.0" encoding="utf-8"?>
<sst xmlns="http://schemas.openxmlformats.org/spreadsheetml/2006/main" count="361" uniqueCount="183">
  <si>
    <t>ESPECIFICAÇÃO</t>
  </si>
  <si>
    <t>Valor Corrente (a)</t>
  </si>
  <si>
    <t>Valor Constante</t>
  </si>
  <si>
    <t xml:space="preserve">       % PIB                                      (a / PIB) x 100</t>
  </si>
  <si>
    <t>Valor Corrente (b)</t>
  </si>
  <si>
    <t xml:space="preserve">       % PIB                                      (b / PIB) x 100</t>
  </si>
  <si>
    <t xml:space="preserve">       % PIB                                      (c / PIB) x 100</t>
  </si>
  <si>
    <t>Receita Total</t>
  </si>
  <si>
    <t>Receitas Primárias ( I )</t>
  </si>
  <si>
    <t>Despesa Total</t>
  </si>
  <si>
    <t>Despesas Primárias  ( II )</t>
  </si>
  <si>
    <t>Resultado Primário ( I – II )</t>
  </si>
  <si>
    <t>Resultado Nominal</t>
  </si>
  <si>
    <t>Dívida Pública Consolidada</t>
  </si>
  <si>
    <t>Dívida Consolidada Líquida</t>
  </si>
  <si>
    <t>PROJEÇÃO DO PIB/RS</t>
  </si>
  <si>
    <t>NOTA:</t>
  </si>
  <si>
    <t>LRF, art 4° §2° , Inciso I</t>
  </si>
  <si>
    <t>% PIB</t>
  </si>
  <si>
    <t>Variação</t>
  </si>
  <si>
    <t>Valor ( c ) =  (b-a)</t>
  </si>
  <si>
    <t xml:space="preserve">          %             (c/a) x100</t>
  </si>
  <si>
    <t>Receita Não-Financeira ( I )</t>
  </si>
  <si>
    <t>Despesa Não-Financeira  ( II )</t>
  </si>
  <si>
    <t>VALORES A PREÇOS CORRENTES</t>
  </si>
  <si>
    <t>%</t>
  </si>
  <si>
    <t>VALORES A PREÇOS CONSTANTES</t>
  </si>
  <si>
    <t>Í N D IC E S   D E  I N F L A Ç Ã O</t>
  </si>
  <si>
    <t>LRF, art 4°, §2°, inciso III</t>
  </si>
  <si>
    <t>PATRIMÔNIO LÍQUIDO</t>
  </si>
  <si>
    <t>Patrimônio / Capital</t>
  </si>
  <si>
    <t>Reservas</t>
  </si>
  <si>
    <t>Resultado Acumulado</t>
  </si>
  <si>
    <t>T O T A L</t>
  </si>
  <si>
    <t>REGIME PREVIDENCIÁRIO</t>
  </si>
  <si>
    <t>LRF art. 4°, § 2°, inciso III</t>
  </si>
  <si>
    <t>RECEITAS REALIZADAS</t>
  </si>
  <si>
    <t>(a)</t>
  </si>
  <si>
    <t>(d)</t>
  </si>
  <si>
    <t>RECEITA DE CAPITAL</t>
  </si>
  <si>
    <t xml:space="preserve">  ALIENAÇÃO DE ATIVOS</t>
  </si>
  <si>
    <t xml:space="preserve">       Alienação de Bens Móveis</t>
  </si>
  <si>
    <t xml:space="preserve">       Alienação de Bens Imóveis</t>
  </si>
  <si>
    <t xml:space="preserve">T O T A L </t>
  </si>
  <si>
    <t>DESPESAS LIQUIDADAS</t>
  </si>
  <si>
    <t xml:space="preserve"> (b)</t>
  </si>
  <si>
    <t>(e)</t>
  </si>
  <si>
    <t>APLICAÇÃO DOS RECURSOS DE ALIENAÇÃO DE ATIVOS</t>
  </si>
  <si>
    <t xml:space="preserve">  DESPESAS DE CAPITAL</t>
  </si>
  <si>
    <t xml:space="preserve">       Investimentos</t>
  </si>
  <si>
    <t xml:space="preserve">       Inversões Financeiras</t>
  </si>
  <si>
    <t xml:space="preserve">       Amortização da dívida</t>
  </si>
  <si>
    <t xml:space="preserve">  DESPESAS CORRENTES COM REGIME DE PREVIDÊNCIA</t>
  </si>
  <si>
    <t xml:space="preserve">       Regime Geral de Previdência Social</t>
  </si>
  <si>
    <t xml:space="preserve">       Regime Próprio dos Servidores Públicos</t>
  </si>
  <si>
    <t>SALDO FINANCEIRO</t>
  </si>
  <si>
    <t>(c) = (a – b) + (f)</t>
  </si>
  <si>
    <t>(f) = (d-e ) + (g)</t>
  </si>
  <si>
    <t>(g)</t>
  </si>
  <si>
    <t>DESPESAS PREVIDENCIÁRIAS</t>
  </si>
  <si>
    <t xml:space="preserve">         Demais Despesas Previdenciárias</t>
  </si>
  <si>
    <t>EXERCÍCIO</t>
  </si>
  <si>
    <t>RESULTADO PREVIDENCIÁRIO</t>
  </si>
  <si>
    <t>SALDO FINANCEIRO DO EXERCÍCIO</t>
  </si>
  <si>
    <t>Valor</t>
  </si>
  <si>
    <t xml:space="preserve">Valor </t>
  </si>
  <si>
    <t xml:space="preserve">Valor  </t>
  </si>
  <si>
    <t xml:space="preserve"> (a)</t>
  </si>
  <si>
    <r>
      <t>(b)</t>
    </r>
    <r>
      <rPr>
        <sz val="2"/>
        <rFont val="Arial"/>
        <family val="2"/>
      </rPr>
      <t>.</t>
    </r>
  </si>
  <si>
    <r>
      <t xml:space="preserve"> </t>
    </r>
    <r>
      <rPr>
        <b/>
        <sz val="8"/>
        <rFont val="Arial"/>
        <family val="2"/>
      </rPr>
      <t>(c)=(a-b)</t>
    </r>
  </si>
  <si>
    <t>(d)=("d" exerc.Anter)+(c)</t>
  </si>
  <si>
    <t>LRF, art 4°, § 2° inciso V</t>
  </si>
  <si>
    <t>SETOR / PROGRAMA / BENEFICIÁRIO</t>
  </si>
  <si>
    <t>RENÚNCIA DA RECEITA PREVISTA</t>
  </si>
  <si>
    <t>COMPENSAÇÃO</t>
  </si>
  <si>
    <t>IPTU</t>
  </si>
  <si>
    <t>ISS</t>
  </si>
  <si>
    <t>TOTAL</t>
  </si>
  <si>
    <t>LRF, art 4°, § 2° , inciso V</t>
  </si>
  <si>
    <t>EVENTO</t>
  </si>
  <si>
    <t>Aumento Permanente da Receita</t>
  </si>
  <si>
    <t xml:space="preserve">  ( - ) Transferências Constitucionais</t>
  </si>
  <si>
    <r>
      <t xml:space="preserve">  </t>
    </r>
    <r>
      <rPr>
        <sz val="8"/>
        <rFont val="Arial"/>
        <family val="2"/>
      </rPr>
      <t>( - ) Transferências ao FUNDEB</t>
    </r>
  </si>
  <si>
    <t>Saldo Final do Aumento Permanente da Receita ( I )</t>
  </si>
  <si>
    <t>Redução Permanente da Despesa ( II )</t>
  </si>
  <si>
    <t>Margem Bruta ( III ) = ( I + II )</t>
  </si>
  <si>
    <t>Saldo Utilizado ( IV )</t>
  </si>
  <si>
    <t xml:space="preserve">   Impacto de Novas DOCC</t>
  </si>
  <si>
    <t>Margem Líquida de Expansão de DOCC ( III – IV )</t>
  </si>
  <si>
    <t>FONTE: Superintendência de Gestão Orçamentária e Financeira - PMSM</t>
  </si>
  <si>
    <t>(LRF, art 4°  §1°)</t>
  </si>
  <si>
    <t>AMF - Demonstrativo VI (LRF, art.4º, §2º, inciso IV, alínea "a")</t>
  </si>
  <si>
    <t xml:space="preserve">      Receita de Contribuições dos Segurados</t>
  </si>
  <si>
    <t xml:space="preserve">      Receita Patrimonial</t>
  </si>
  <si>
    <t xml:space="preserve">      Receita de Serviços </t>
  </si>
  <si>
    <t xml:space="preserve">      Outras Receitas Correntes</t>
  </si>
  <si>
    <t xml:space="preserve">         Compensação Previdenciária do RGPS para o RPPS</t>
  </si>
  <si>
    <t xml:space="preserve">      Alienação de Bens, Direitos e Ativos</t>
  </si>
  <si>
    <t xml:space="preserve">      Amortização de Empréstimos</t>
  </si>
  <si>
    <t xml:space="preserve">      Outras Receitas de Capital</t>
  </si>
  <si>
    <t xml:space="preserve">      Despesas Correntes</t>
  </si>
  <si>
    <t xml:space="preserve">      Despesas de Capital</t>
  </si>
  <si>
    <t xml:space="preserve">      Outras Despesas Previdenciárias</t>
  </si>
  <si>
    <t xml:space="preserve">         Compensação Previdenciária do RPPS para o RGPS</t>
  </si>
  <si>
    <t>TOTAL DAS DESPESAS PREVIDENCIÁRIAS (VI) = (IV+V)</t>
  </si>
  <si>
    <t xml:space="preserve"> RESERVA ORÇAMENTÁRIA DO RPPS</t>
  </si>
  <si>
    <t xml:space="preserve"> BENS E DIREITOS DO RPPS</t>
  </si>
  <si>
    <t>AMF – Demonstrativo VI (LRF, art.4º, § 2º, inciso IV, alínea “a”)</t>
  </si>
  <si>
    <t>ITBI</t>
  </si>
  <si>
    <t>Taxas</t>
  </si>
  <si>
    <t xml:space="preserve">       Remuneração Bancária</t>
  </si>
  <si>
    <t>RECEITA CORRENTE</t>
  </si>
  <si>
    <t>OBS.: Foi necessária a inclusão do campo referente Receita Corrente, para demonstrar os rendimentos.</t>
  </si>
  <si>
    <t>Alienação de Bens</t>
  </si>
  <si>
    <t>Tributo</t>
  </si>
  <si>
    <t>RECEITAS PREVIDENCIÁRIAS</t>
  </si>
  <si>
    <t>Despesa prevista a menor</t>
  </si>
  <si>
    <t>TAXAS</t>
  </si>
  <si>
    <t>Lei Complementar nº 02/01, de 28/12/2001 - Art. 228 (Os imóveis cujo valor venal for inferior a 10.000 UFM - dez mil unidades fiscais do Município - ficarão isentos do pagamento do IPTU).</t>
  </si>
  <si>
    <t>Lei Complementar nº 027/04, de 30/09/2004 - Isenção para áreas de preservação ambiental, sítios arqueológicos e paleontológicos, área particularmente desvalorizada.</t>
  </si>
  <si>
    <t>Lei Complementar nº 02/01, de 28/12/2001 - art. 229 - Isenções do pagamento de Imposto Sobre Serviço de Qualquer Natureza - ISSQN, para pessoas físicas.</t>
  </si>
  <si>
    <t>Lei Municipal nº 5702/2012, de 06/12/2012 - Isenção do pagamento do Imposto Predial e Territorial Urbano - IPTU, aos aposentados, inativos e pensionistas com renda até um salário mínimo nacional.</t>
  </si>
  <si>
    <t>Lei Municipal nº 5157/2008, de 03/10/2008 - Incentivo ao Esporte - PROESP.</t>
  </si>
  <si>
    <t>Lei Complementar nº 068/2008, de 07/10/2008 - Redutores dos Tributos - ISS Atividades de Educação.</t>
  </si>
  <si>
    <t>Lei Municipal nº 5245/2009, de 05/11/2009 - Microempreendedor Individual.</t>
  </si>
  <si>
    <t xml:space="preserve">Lei Complementar nº 037/06, de 14/09/2006 -Institui o Programa EMPREENDE SANTA MARIA, que visa o Desenvolvimento Econômico Sustentável do Município. </t>
  </si>
  <si>
    <t>Lei Municipal nº 5919/2014, de 28/11/2014 - Concede Incentivos à Empresa SR Engenharia Ltda - por 05 anos.</t>
  </si>
  <si>
    <t>Lei Municipal nº 5497/2011, de  09/08/2011 - Incentivos às entidades de utilidade pública, clubes. Sociedades recreativas e entidades de assistência social.</t>
  </si>
  <si>
    <t>Lei Municipal nº 5474/2011 - Concessão de Direito Real de Uso dos Lotes no Distrito Industrial.</t>
  </si>
  <si>
    <t>Metas Previstas em 2017 (a)</t>
  </si>
  <si>
    <t>Metas Realizadas em 2017 (b)</t>
  </si>
  <si>
    <t>1. Para os valores correntes, os índicdes de inflação utilizados foram: 2019: 4,25% - 2020 e 2021: 4,00%</t>
  </si>
  <si>
    <t>2. O valor utilizado para o PIB/RS de 2018 foi R$ 440.118.456.500,00 que é o resultado do PIB de 2017 corrigido pelo índice da inflação de 2,95% e de 2019 a 2021, foram os acima descritos.</t>
  </si>
  <si>
    <t>O valor utilizado para o PIB/RS de 2017 é o informado no site da FEE - Fundação de Economia e Estatística.</t>
  </si>
  <si>
    <t>FONTE: Banco Central do Brasil - Sistema de Metas para a Inflação - Histórico das Metas para Inflação</t>
  </si>
  <si>
    <t>RECEITAS E DESPESAS PREVIDENCIÁRIAS DO REGIME PRÓPRIO DE PREVIDÊNCIA DOS SERVIDORES</t>
  </si>
  <si>
    <t>PLANO PREVIDENCIÁRIO</t>
  </si>
  <si>
    <t>RECEITAS PREVIDENCIÁRIAS - RPPS</t>
  </si>
  <si>
    <t xml:space="preserve">   RECEITAS CORRENTES (I)</t>
  </si>
  <si>
    <t xml:space="preserve">        Civil</t>
  </si>
  <si>
    <t xml:space="preserve">           Ativo</t>
  </si>
  <si>
    <t xml:space="preserve">           Inativo</t>
  </si>
  <si>
    <t xml:space="preserve">           Pensionista</t>
  </si>
  <si>
    <t xml:space="preserve">        Militar</t>
  </si>
  <si>
    <t>-</t>
  </si>
  <si>
    <t xml:space="preserve">     Receitas de Contribuições Patronais</t>
  </si>
  <si>
    <t xml:space="preserve">        Em Regime de Parcelamento de Débitos</t>
  </si>
  <si>
    <t xml:space="preserve">           Receitas Imobiliárias</t>
  </si>
  <si>
    <t xml:space="preserve">           Receita de Valores Mobiliários</t>
  </si>
  <si>
    <t xml:space="preserve">           Outras Receitas Patrimoniais</t>
  </si>
  <si>
    <t xml:space="preserve">      Receita de Aporte Periódico de Valores Predefinidos</t>
  </si>
  <si>
    <t xml:space="preserve">         Demais Receitas Correntes</t>
  </si>
  <si>
    <t xml:space="preserve">   RECEITAS DE CAPITAL (II)</t>
  </si>
  <si>
    <t>DESPESAS PREVIDENCIÁRIAS - RPPS</t>
  </si>
  <si>
    <t>TOTAL DAS RECEITAS PREVIDENCIÁRIAS RPPS (III) = (I + II)</t>
  </si>
  <si>
    <t xml:space="preserve">   ADMINISTRAÇÃO (IV)</t>
  </si>
  <si>
    <t xml:space="preserve">   PREVIDÊNCIA (V)</t>
  </si>
  <si>
    <t xml:space="preserve">      Benefícios - Civil</t>
  </si>
  <si>
    <t xml:space="preserve">        Aposentadorias</t>
  </si>
  <si>
    <t xml:space="preserve">        Pensões</t>
  </si>
  <si>
    <t xml:space="preserve">        Outros Benefícios Previdenciários</t>
  </si>
  <si>
    <t>RESULTADO PREVIDENCIÁRIO (VII) - (III – VI)</t>
  </si>
  <si>
    <t>VALOR</t>
  </si>
  <si>
    <t>APORTES DE RECURSOS PARA O PLANO PREVIDENCIÁRIO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</si>
  <si>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</si>
  <si>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</si>
  <si>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</si>
  <si>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</si>
  <si>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</si>
  <si>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</si>
  <si>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</si>
  <si>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FONTE: IPASSP-SM, em  17 deabril de 2018.</t>
  </si>
  <si>
    <t>Lei Municipal nº 5395, de 29/12/2010 e alterações - Campanha Premiada.</t>
  </si>
  <si>
    <t>Lei Complementar nº 02/2001, de 28/12/2001 - Desconto para IPTU pago em cota única.</t>
  </si>
  <si>
    <t>Lei Municipal nº 5273/2009, de 30/12/2009 e alterações - Criação do Prêmio Adimplência.</t>
  </si>
  <si>
    <r>
      <t>Lei Complementar nº 02/01, de 28/12/2001- art. 244, parágrafo 1</t>
    </r>
    <r>
      <rPr>
        <sz val="8"/>
        <rFont val="Calibri"/>
        <family val="2"/>
      </rPr>
      <t>º</t>
    </r>
    <r>
      <rPr>
        <sz val="8"/>
        <rFont val="Arial"/>
        <family val="2"/>
      </rPr>
      <t xml:space="preserve"> - Imóveis dos Distritos com redução de 50% no IPTU.</t>
    </r>
  </si>
  <si>
    <t xml:space="preserve"> Lei Municipal nº 5517/2011 de Isenção tributária para implantação de empreendimentos habitacionais de interesse social</t>
  </si>
  <si>
    <t>Lei Municipal nº 4645/03, de 06/02/2003 - Lei nº 4017/96 e alterações - Lei de Incentivo à Cultura - LIC.</t>
  </si>
  <si>
    <t xml:space="preserve"> LC nº 112/2017 de 20/12/2017 - Art 27-B - ISS</t>
  </si>
  <si>
    <t xml:space="preserve">Lei Municipal nº 6041/2016, de 09/03/2016 - Concede incentivos fiscais à pessoa juridica de Direito Privado KMW do Brasil Sistemas de Defesa Ltda. </t>
  </si>
  <si>
    <t>Lei Municipal nº 6057/2016 - Dispõe sobre o Polo Histórico, Cultural, Turístico, Gastronômico e de Lazer da Vila Belga.</t>
  </si>
  <si>
    <t>FONTE: Pronin CP, IPASSP-SM, em 12/04/2018 e Avaliação Atuarial Registro: 1.0/2018 Anexo II, Fardin Assessoria Atuarial.</t>
  </si>
  <si>
    <t xml:space="preserve">FONTE: Superintendência de Receita -  PMSM - Utilizado para  2019 o percentual de 3,00%, conforme Estimativa da Inflação. </t>
  </si>
</sst>
</file>

<file path=xl/styles.xml><?xml version="1.0" encoding="utf-8"?>
<styleSheet xmlns="http://schemas.openxmlformats.org/spreadsheetml/2006/main">
  <numFmts count="2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0.0000%"/>
    <numFmt numFmtId="173" formatCode="dd/mm/yy"/>
    <numFmt numFmtId="174" formatCode="#,###.00"/>
    <numFmt numFmtId="175" formatCode="&quot;R$&quot;\ #,##0.00"/>
    <numFmt numFmtId="176" formatCode="&quot;R$ &quot;#,##0.00_);[Red]\(&quot;R$ &quot;#,##0.00\)"/>
    <numFmt numFmtId="177" formatCode="[$-416]dddd\,\ d&quot; de &quot;mmmm&quot; de &quot;yyyy"/>
    <numFmt numFmtId="178" formatCode="\ #,##0.00_);[Red]\(#,##0.00\)"/>
    <numFmt numFmtId="179" formatCode="#,##0.00_ ;\-#,##0.00\ "/>
    <numFmt numFmtId="180" formatCode="#,##0.00;[Red]#,##0.00"/>
    <numFmt numFmtId="181" formatCode="#,##0.00_ ;[Red]\-#,##0.00\ 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2"/>
      <name val="Arial"/>
      <family val="2"/>
    </font>
    <font>
      <sz val="8"/>
      <name val="Lucida Sans Unicode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left" vertical="center" wrapText="1"/>
    </xf>
    <xf numFmtId="174" fontId="2" fillId="0" borderId="12" xfId="0" applyNumberFormat="1" applyFont="1" applyBorder="1" applyAlignment="1">
      <alignment horizontal="left" vertical="center" wrapText="1"/>
    </xf>
    <xf numFmtId="174" fontId="2" fillId="0" borderId="13" xfId="0" applyNumberFormat="1" applyFont="1" applyBorder="1" applyAlignment="1">
      <alignment horizontal="left" vertical="center" wrapText="1"/>
    </xf>
    <xf numFmtId="174" fontId="6" fillId="0" borderId="14" xfId="0" applyNumberFormat="1" applyFont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top" wrapText="1"/>
    </xf>
    <xf numFmtId="175" fontId="2" fillId="0" borderId="17" xfId="0" applyNumberFormat="1" applyFont="1" applyFill="1" applyBorder="1" applyAlignment="1">
      <alignment horizontal="right" vertical="top" wrapText="1"/>
    </xf>
    <xf numFmtId="175" fontId="2" fillId="0" borderId="17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4" fontId="2" fillId="0" borderId="12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76" fontId="2" fillId="0" borderId="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39" fontId="2" fillId="0" borderId="10" xfId="0" applyNumberFormat="1" applyFont="1" applyFill="1" applyBorder="1" applyAlignment="1">
      <alignment horizontal="right" vertical="top" wrapText="1"/>
    </xf>
    <xf numFmtId="39" fontId="2" fillId="0" borderId="10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2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4" fontId="3" fillId="36" borderId="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0" fontId="3" fillId="38" borderId="18" xfId="0" applyNumberFormat="1" applyFont="1" applyFill="1" applyBorder="1" applyAlignment="1">
      <alignment horizontal="center" vertical="center" wrapText="1"/>
    </xf>
    <xf numFmtId="0" fontId="3" fillId="38" borderId="22" xfId="0" applyNumberFormat="1" applyFont="1" applyFill="1" applyBorder="1" applyAlignment="1">
      <alignment horizontal="center" vertical="center" wrapText="1"/>
    </xf>
    <xf numFmtId="0" fontId="3" fillId="38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0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3" fillId="39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3" fillId="40" borderId="10" xfId="0" applyNumberFormat="1" applyFont="1" applyFill="1" applyBorder="1" applyAlignment="1">
      <alignment horizontal="center" vertical="center" wrapText="1"/>
    </xf>
    <xf numFmtId="0" fontId="3" fillId="39" borderId="12" xfId="0" applyNumberFormat="1" applyFont="1" applyFill="1" applyBorder="1" applyAlignment="1">
      <alignment horizontal="center" vertical="center"/>
    </xf>
    <xf numFmtId="0" fontId="3" fillId="39" borderId="14" xfId="0" applyNumberFormat="1" applyFont="1" applyFill="1" applyBorder="1" applyAlignment="1">
      <alignment horizontal="center" vertical="center"/>
    </xf>
    <xf numFmtId="4" fontId="3" fillId="40" borderId="12" xfId="0" applyNumberFormat="1" applyFont="1" applyFill="1" applyBorder="1" applyAlignment="1">
      <alignment horizontal="center" vertical="center" wrapText="1"/>
    </xf>
    <xf numFmtId="4" fontId="3" fillId="40" borderId="13" xfId="0" applyNumberFormat="1" applyFont="1" applyFill="1" applyBorder="1" applyAlignment="1">
      <alignment horizontal="center" vertical="center" wrapText="1"/>
    </xf>
    <xf numFmtId="4" fontId="3" fillId="40" borderId="14" xfId="0" applyNumberFormat="1" applyFont="1" applyFill="1" applyBorder="1" applyAlignment="1">
      <alignment horizontal="center" vertical="center" wrapText="1"/>
    </xf>
    <xf numFmtId="4" fontId="3" fillId="40" borderId="18" xfId="0" applyNumberFormat="1" applyFont="1" applyFill="1" applyBorder="1" applyAlignment="1">
      <alignment horizontal="center" vertical="center" wrapText="1"/>
    </xf>
    <xf numFmtId="4" fontId="3" fillId="40" borderId="22" xfId="0" applyNumberFormat="1" applyFont="1" applyFill="1" applyBorder="1" applyAlignment="1">
      <alignment horizontal="center" vertical="center" wrapText="1"/>
    </xf>
    <xf numFmtId="4" fontId="3" fillId="40" borderId="23" xfId="0" applyNumberFormat="1" applyFont="1" applyFill="1" applyBorder="1" applyAlignment="1">
      <alignment horizontal="center" vertical="center" wrapText="1"/>
    </xf>
    <xf numFmtId="0" fontId="3" fillId="4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%20e%20Metodologia%20do%20Anexo%20de%20Metas%20Fisc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 ANUAIS PARA A RECEITA"/>
      <sheetName val="EVOLUÇÃO DA RECEITA"/>
      <sheetName val="VARIAÇÃO DA RECEITA"/>
      <sheetName val="RECEITA CORRENTE LÍQUIDA"/>
      <sheetName val="METAS ANUAIS DE DESPESA"/>
      <sheetName val="VARIAÇÃO DA DESPESA"/>
      <sheetName val="META DO RESULTADO PRIMÁRIO"/>
      <sheetName val="META DO RESULTADO NOMINAL"/>
      <sheetName val="MONTANTE DA DÍVIDA PÚBLICA"/>
    </sheetNames>
    <sheetDataSet>
      <sheetData sheetId="0">
        <row r="28">
          <cell r="D28">
            <v>713400000</v>
          </cell>
          <cell r="E28">
            <v>706000000</v>
          </cell>
          <cell r="F28">
            <v>726000000</v>
          </cell>
        </row>
      </sheetData>
      <sheetData sheetId="1">
        <row r="22">
          <cell r="C22">
            <v>605545334.3399999</v>
          </cell>
          <cell r="D22">
            <v>643926206.8500001</v>
          </cell>
          <cell r="E22">
            <v>700000000</v>
          </cell>
        </row>
      </sheetData>
      <sheetData sheetId="6">
        <row r="25">
          <cell r="C25">
            <v>556944745.91</v>
          </cell>
          <cell r="D25">
            <v>602112151.91</v>
          </cell>
          <cell r="E25">
            <v>587233450</v>
          </cell>
          <cell r="F25">
            <v>603278400</v>
          </cell>
          <cell r="G25">
            <v>581277500</v>
          </cell>
          <cell r="H25">
            <v>597539000</v>
          </cell>
        </row>
        <row r="26">
          <cell r="D26">
            <v>589590480.1</v>
          </cell>
        </row>
        <row r="33">
          <cell r="D33">
            <v>35539459.61</v>
          </cell>
        </row>
        <row r="43">
          <cell r="C43">
            <v>561685801.36</v>
          </cell>
          <cell r="D43">
            <v>597696547.33</v>
          </cell>
          <cell r="E43">
            <v>598755600</v>
          </cell>
          <cell r="F43">
            <v>601820800</v>
          </cell>
          <cell r="G43">
            <v>581013200</v>
          </cell>
          <cell r="H43">
            <v>598163800</v>
          </cell>
        </row>
      </sheetData>
      <sheetData sheetId="7">
        <row r="3">
          <cell r="E3">
            <v>127000000</v>
          </cell>
        </row>
        <row r="12">
          <cell r="E12">
            <v>48500000</v>
          </cell>
        </row>
        <row r="15">
          <cell r="C15">
            <v>-11478044.099999994</v>
          </cell>
          <cell r="D15">
            <v>137016963.76</v>
          </cell>
          <cell r="E15">
            <v>-14693767.160000011</v>
          </cell>
          <cell r="F15">
            <v>-11500000</v>
          </cell>
          <cell r="G15">
            <v>-4000000</v>
          </cell>
          <cell r="H15">
            <v>-12000000</v>
          </cell>
        </row>
      </sheetData>
      <sheetData sheetId="8">
        <row r="2">
          <cell r="C2">
            <v>115940110.63</v>
          </cell>
          <cell r="D2">
            <v>141933572.9</v>
          </cell>
          <cell r="F2">
            <v>120000000</v>
          </cell>
          <cell r="G2">
            <v>110000000</v>
          </cell>
          <cell r="H2">
            <v>100000000</v>
          </cell>
        </row>
        <row r="11">
          <cell r="C11">
            <v>-73823196.6</v>
          </cell>
          <cell r="D11">
            <v>63193767.16000001</v>
          </cell>
          <cell r="F11">
            <v>37000000</v>
          </cell>
          <cell r="G11">
            <v>33000000</v>
          </cell>
          <cell r="H11">
            <v>21000000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6" sqref="A26:J26"/>
    </sheetView>
  </sheetViews>
  <sheetFormatPr defaultColWidth="11.57421875" defaultRowHeight="12.75"/>
  <cols>
    <col min="1" max="1" width="22.57421875" style="1" customWidth="1"/>
    <col min="2" max="3" width="12.421875" style="1" customWidth="1"/>
    <col min="4" max="4" width="11.8515625" style="1" customWidth="1"/>
    <col min="5" max="5" width="12.421875" style="1" customWidth="1"/>
    <col min="6" max="6" width="13.28125" style="1" customWidth="1"/>
    <col min="7" max="7" width="12.421875" style="1" customWidth="1"/>
    <col min="8" max="8" width="13.7109375" style="1" customWidth="1"/>
    <col min="9" max="10" width="12.421875" style="1" customWidth="1"/>
    <col min="11" max="16384" width="11.57421875" style="1" customWidth="1"/>
  </cols>
  <sheetData>
    <row r="1" spans="1:10" ht="12.75">
      <c r="A1" s="2" t="s">
        <v>90</v>
      </c>
      <c r="J1" s="63">
        <v>1</v>
      </c>
    </row>
    <row r="2" spans="1:10" ht="24" customHeight="1">
      <c r="A2" s="99" t="s">
        <v>0</v>
      </c>
      <c r="B2" s="100">
        <v>2019</v>
      </c>
      <c r="C2" s="101"/>
      <c r="D2" s="102"/>
      <c r="E2" s="100">
        <v>2020</v>
      </c>
      <c r="F2" s="101"/>
      <c r="G2" s="102"/>
      <c r="H2" s="98">
        <v>2021</v>
      </c>
      <c r="I2" s="98"/>
      <c r="J2" s="98"/>
    </row>
    <row r="3" spans="1:10" ht="12.75">
      <c r="A3" s="99"/>
      <c r="B3" s="95" t="s">
        <v>1</v>
      </c>
      <c r="C3" s="95" t="s">
        <v>2</v>
      </c>
      <c r="D3" s="95" t="s">
        <v>3</v>
      </c>
      <c r="E3" s="95" t="s">
        <v>4</v>
      </c>
      <c r="F3" s="95" t="s">
        <v>2</v>
      </c>
      <c r="G3" s="95" t="s">
        <v>5</v>
      </c>
      <c r="H3" s="95" t="s">
        <v>4</v>
      </c>
      <c r="I3" s="95" t="s">
        <v>2</v>
      </c>
      <c r="J3" s="95" t="s">
        <v>6</v>
      </c>
    </row>
    <row r="4" spans="1:10" ht="12.75">
      <c r="A4" s="99"/>
      <c r="B4" s="95"/>
      <c r="C4" s="95"/>
      <c r="D4" s="95"/>
      <c r="E4" s="95"/>
      <c r="F4" s="95"/>
      <c r="G4" s="95"/>
      <c r="H4" s="95"/>
      <c r="I4" s="95"/>
      <c r="J4" s="95"/>
    </row>
    <row r="5" spans="1:10" ht="12.75">
      <c r="A5" s="99"/>
      <c r="B5" s="95"/>
      <c r="C5" s="95"/>
      <c r="D5" s="95"/>
      <c r="E5" s="95"/>
      <c r="F5" s="95"/>
      <c r="G5" s="95"/>
      <c r="H5" s="95"/>
      <c r="I5" s="95"/>
      <c r="J5" s="95"/>
    </row>
    <row r="6" spans="1:10" ht="16.5" customHeight="1">
      <c r="A6" s="25" t="s">
        <v>7</v>
      </c>
      <c r="B6" s="26">
        <f>'[1]METAS ANUAIS PARA A RECEITA'!$D$28</f>
        <v>713400000</v>
      </c>
      <c r="C6" s="26">
        <f aca="true" t="shared" si="0" ref="C6:C13">B6*(1-4.25%)</f>
        <v>683080500</v>
      </c>
      <c r="D6" s="27">
        <f>B6/$C$19*100</f>
        <v>0.1554846284349336</v>
      </c>
      <c r="E6" s="26">
        <f>'[1]METAS ANUAIS PARA A RECEITA'!$E$28</f>
        <v>706000000</v>
      </c>
      <c r="F6" s="26">
        <f aca="true" t="shared" si="1" ref="F6:F13">E6*(1-4%)</f>
        <v>677760000</v>
      </c>
      <c r="G6" s="27">
        <f>E6/$E$19*100</f>
        <v>0.14795366133340765</v>
      </c>
      <c r="H6" s="26">
        <f>'[1]METAS ANUAIS PARA A RECEITA'!$F$28</f>
        <v>726000000</v>
      </c>
      <c r="I6" s="26">
        <f aca="true" t="shared" si="2" ref="I6:I13">H6*(1-4%)</f>
        <v>696960000</v>
      </c>
      <c r="J6" s="27">
        <f>H6/$G$19*100</f>
        <v>0.14629325306174268</v>
      </c>
    </row>
    <row r="7" spans="1:10" ht="16.5" customHeight="1">
      <c r="A7" s="25" t="s">
        <v>8</v>
      </c>
      <c r="B7" s="26">
        <f>'[1]META DO RESULTADO PRIMÁRIO'!$F$25</f>
        <v>603278400</v>
      </c>
      <c r="C7" s="26">
        <f t="shared" si="0"/>
        <v>577639068</v>
      </c>
      <c r="D7" s="27">
        <f aca="true" t="shared" si="3" ref="D7:D13">B7/$C$19*100</f>
        <v>0.13148376488200345</v>
      </c>
      <c r="E7" s="26">
        <f>'[1]META DO RESULTADO PRIMÁRIO'!$G$25</f>
        <v>581277500</v>
      </c>
      <c r="F7" s="26">
        <f t="shared" si="1"/>
        <v>558026400</v>
      </c>
      <c r="G7" s="27">
        <f aca="true" t="shared" si="4" ref="G7:G13">E7/$E$19*100</f>
        <v>0.12181605435655789</v>
      </c>
      <c r="H7" s="26">
        <f>'[1]META DO RESULTADO PRIMÁRIO'!$H$25</f>
        <v>597539000</v>
      </c>
      <c r="I7" s="26">
        <f t="shared" si="2"/>
        <v>573637440</v>
      </c>
      <c r="J7" s="27">
        <f aca="true" t="shared" si="5" ref="J7:J13">H7/$G$19*100</f>
        <v>0.12040760901000092</v>
      </c>
    </row>
    <row r="8" spans="1:10" ht="16.5" customHeight="1">
      <c r="A8" s="25" t="s">
        <v>9</v>
      </c>
      <c r="B8" s="26">
        <f>B6</f>
        <v>713400000</v>
      </c>
      <c r="C8" s="26">
        <f t="shared" si="0"/>
        <v>683080500</v>
      </c>
      <c r="D8" s="27">
        <f t="shared" si="3"/>
        <v>0.1554846284349336</v>
      </c>
      <c r="E8" s="26">
        <f>E6</f>
        <v>706000000</v>
      </c>
      <c r="F8" s="26">
        <f t="shared" si="1"/>
        <v>677760000</v>
      </c>
      <c r="G8" s="27">
        <f t="shared" si="4"/>
        <v>0.14795366133340765</v>
      </c>
      <c r="H8" s="26">
        <f>H6</f>
        <v>726000000</v>
      </c>
      <c r="I8" s="26">
        <f t="shared" si="2"/>
        <v>696960000</v>
      </c>
      <c r="J8" s="27">
        <f t="shared" si="5"/>
        <v>0.14629325306174268</v>
      </c>
    </row>
    <row r="9" spans="1:10" ht="16.5" customHeight="1">
      <c r="A9" s="25" t="s">
        <v>10</v>
      </c>
      <c r="B9" s="26">
        <f>'[1]META DO RESULTADO PRIMÁRIO'!$F$43</f>
        <v>601820800</v>
      </c>
      <c r="C9" s="26">
        <f t="shared" si="0"/>
        <v>576243416</v>
      </c>
      <c r="D9" s="27">
        <f t="shared" si="3"/>
        <v>0.13116608280405734</v>
      </c>
      <c r="E9" s="26">
        <f>'[1]META DO RESULTADO PRIMÁRIO'!$G$43</f>
        <v>581013200</v>
      </c>
      <c r="F9" s="26">
        <f t="shared" si="1"/>
        <v>557772672</v>
      </c>
      <c r="G9" s="27">
        <f t="shared" si="4"/>
        <v>0.1217606660382995</v>
      </c>
      <c r="H9" s="26">
        <f>'[1]META DO RESULTADO PRIMÁRIO'!$H$43</f>
        <v>598163800</v>
      </c>
      <c r="I9" s="26">
        <f t="shared" si="2"/>
        <v>574237248</v>
      </c>
      <c r="J9" s="27">
        <f t="shared" si="5"/>
        <v>0.12053350987021162</v>
      </c>
    </row>
    <row r="10" spans="1:10" ht="16.5" customHeight="1">
      <c r="A10" s="25" t="s">
        <v>11</v>
      </c>
      <c r="B10" s="26">
        <f>B7-B9</f>
        <v>1457600</v>
      </c>
      <c r="C10" s="26">
        <f t="shared" si="0"/>
        <v>1395652</v>
      </c>
      <c r="D10" s="27">
        <f t="shared" si="3"/>
        <v>0.0003176820779461161</v>
      </c>
      <c r="E10" s="26">
        <f>E7-E9</f>
        <v>264300</v>
      </c>
      <c r="F10" s="26">
        <f t="shared" si="1"/>
        <v>253728</v>
      </c>
      <c r="G10" s="27">
        <f t="shared" si="4"/>
        <v>5.538831825838476E-05</v>
      </c>
      <c r="H10" s="26">
        <f>H7-H9</f>
        <v>-624800</v>
      </c>
      <c r="I10" s="26">
        <f t="shared" si="2"/>
        <v>-599808</v>
      </c>
      <c r="J10" s="27">
        <f t="shared" si="5"/>
        <v>-0.00012590086021071188</v>
      </c>
    </row>
    <row r="11" spans="1:10" ht="16.5" customHeight="1">
      <c r="A11" s="25" t="s">
        <v>12</v>
      </c>
      <c r="B11" s="26">
        <f>'[1]META DO RESULTADO NOMINAL'!$F$15</f>
        <v>-11500000</v>
      </c>
      <c r="C11" s="26">
        <f t="shared" si="0"/>
        <v>-11011250</v>
      </c>
      <c r="D11" s="27">
        <f t="shared" si="3"/>
        <v>-0.00250641046678124</v>
      </c>
      <c r="E11" s="26">
        <f>'[1]META DO RESULTADO NOMINAL'!$G$15</f>
        <v>-4000000</v>
      </c>
      <c r="F11" s="26">
        <f t="shared" si="1"/>
        <v>-3840000</v>
      </c>
      <c r="G11" s="27">
        <f t="shared" si="4"/>
        <v>-0.0008382643701609499</v>
      </c>
      <c r="H11" s="26">
        <f>'[1]META DO RESULTADO NOMINAL'!$H$15</f>
        <v>-12000000</v>
      </c>
      <c r="I11" s="26">
        <f t="shared" si="2"/>
        <v>-11520000</v>
      </c>
      <c r="J11" s="27">
        <f t="shared" si="5"/>
        <v>-0.0024180702985412013</v>
      </c>
    </row>
    <row r="12" spans="1:10" ht="16.5" customHeight="1">
      <c r="A12" s="25" t="s">
        <v>13</v>
      </c>
      <c r="B12" s="26">
        <f>'[1]MONTANTE DA DÍVIDA PÚBLICA'!$F$2</f>
        <v>120000000</v>
      </c>
      <c r="C12" s="26">
        <f t="shared" si="0"/>
        <v>114900000</v>
      </c>
      <c r="D12" s="27">
        <f t="shared" si="3"/>
        <v>0.026153848349021635</v>
      </c>
      <c r="E12" s="26">
        <f>'[1]MONTANTE DA DÍVIDA PÚBLICA'!$G$2</f>
        <v>110000000</v>
      </c>
      <c r="F12" s="26">
        <f t="shared" si="1"/>
        <v>105600000</v>
      </c>
      <c r="G12" s="27">
        <f t="shared" si="4"/>
        <v>0.02305227017942612</v>
      </c>
      <c r="H12" s="26">
        <f>'[1]MONTANTE DA DÍVIDA PÚBLICA'!$H$2</f>
        <v>100000000</v>
      </c>
      <c r="I12" s="26">
        <f t="shared" si="2"/>
        <v>96000000</v>
      </c>
      <c r="J12" s="27">
        <f t="shared" si="5"/>
        <v>0.020150585821176677</v>
      </c>
    </row>
    <row r="13" spans="1:10" ht="16.5" customHeight="1">
      <c r="A13" s="25" t="s">
        <v>14</v>
      </c>
      <c r="B13" s="26">
        <f>'[1]MONTANTE DA DÍVIDA PÚBLICA'!$F$11</f>
        <v>37000000</v>
      </c>
      <c r="C13" s="26">
        <f t="shared" si="0"/>
        <v>35427500</v>
      </c>
      <c r="D13" s="27">
        <f t="shared" si="3"/>
        <v>0.008064103240948337</v>
      </c>
      <c r="E13" s="26">
        <f>'[1]MONTANTE DA DÍVIDA PÚBLICA'!$G$11</f>
        <v>33000000</v>
      </c>
      <c r="F13" s="26">
        <f t="shared" si="1"/>
        <v>31680000</v>
      </c>
      <c r="G13" s="27">
        <f t="shared" si="4"/>
        <v>0.006915681053827835</v>
      </c>
      <c r="H13" s="26">
        <f>'[1]MONTANTE DA DÍVIDA PÚBLICA'!$H$11</f>
        <v>21000000</v>
      </c>
      <c r="I13" s="26">
        <f t="shared" si="2"/>
        <v>20160000</v>
      </c>
      <c r="J13" s="27">
        <f t="shared" si="5"/>
        <v>0.004231623022447103</v>
      </c>
    </row>
    <row r="14" spans="1:10" ht="12.75">
      <c r="A14" s="105" t="s">
        <v>89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5" ht="12.75">
      <c r="A15" s="2"/>
    </row>
    <row r="17" spans="3:8" ht="18.75" customHeight="1">
      <c r="C17" s="96" t="s">
        <v>15</v>
      </c>
      <c r="D17" s="96"/>
      <c r="E17" s="96"/>
      <c r="F17" s="96"/>
      <c r="G17" s="96"/>
      <c r="H17" s="96"/>
    </row>
    <row r="18" spans="3:8" ht="15" customHeight="1">
      <c r="C18" s="106">
        <v>2019</v>
      </c>
      <c r="D18" s="106"/>
      <c r="E18" s="106">
        <v>2020</v>
      </c>
      <c r="F18" s="106"/>
      <c r="G18" s="106">
        <v>2021</v>
      </c>
      <c r="H18" s="106"/>
    </row>
    <row r="19" spans="3:8" ht="15" customHeight="1">
      <c r="C19" s="97">
        <f>440118456500*1.0425</f>
        <v>458823490901.25</v>
      </c>
      <c r="D19" s="97"/>
      <c r="E19" s="97">
        <f>C19*1.04</f>
        <v>477176430537.3</v>
      </c>
      <c r="F19" s="97"/>
      <c r="G19" s="97">
        <f>E19*1.04</f>
        <v>496263487758.792</v>
      </c>
      <c r="H19" s="97"/>
    </row>
    <row r="20" spans="3:8" s="2" customFormat="1" ht="11.25">
      <c r="C20" s="107"/>
      <c r="D20" s="107"/>
      <c r="E20" s="107"/>
      <c r="F20" s="107"/>
      <c r="G20" s="107"/>
      <c r="H20" s="107"/>
    </row>
    <row r="21" spans="3:8" s="2" customFormat="1" ht="11.25">
      <c r="C21" s="108"/>
      <c r="D21" s="108"/>
      <c r="E21" s="108"/>
      <c r="F21" s="108"/>
      <c r="G21" s="108"/>
      <c r="H21" s="108"/>
    </row>
    <row r="22" spans="3:8" s="2" customFormat="1" ht="11.25">
      <c r="C22" s="108"/>
      <c r="D22" s="108"/>
      <c r="E22" s="108"/>
      <c r="F22" s="108"/>
      <c r="G22" s="108"/>
      <c r="H22" s="108"/>
    </row>
    <row r="24" ht="12.75">
      <c r="A24" s="2" t="s">
        <v>16</v>
      </c>
    </row>
    <row r="25" spans="1:10" ht="14.25" customHeight="1">
      <c r="A25" s="103" t="s">
        <v>131</v>
      </c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ht="30" customHeight="1">
      <c r="A26" s="104" t="s">
        <v>132</v>
      </c>
      <c r="B26" s="104"/>
      <c r="C26" s="104"/>
      <c r="D26" s="104"/>
      <c r="E26" s="104"/>
      <c r="F26" s="104"/>
      <c r="G26" s="104"/>
      <c r="H26" s="104"/>
      <c r="I26" s="104"/>
      <c r="J26" s="104"/>
    </row>
  </sheetData>
  <sheetProtection/>
  <mergeCells count="26">
    <mergeCell ref="A25:J25"/>
    <mergeCell ref="A26:J26"/>
    <mergeCell ref="J3:J5"/>
    <mergeCell ref="A14:J14"/>
    <mergeCell ref="C18:D18"/>
    <mergeCell ref="E18:F18"/>
    <mergeCell ref="G18:H18"/>
    <mergeCell ref="C20:H20"/>
    <mergeCell ref="C21:H21"/>
    <mergeCell ref="C22:H22"/>
    <mergeCell ref="H2:J2"/>
    <mergeCell ref="B3:B5"/>
    <mergeCell ref="C3:C5"/>
    <mergeCell ref="A2:A5"/>
    <mergeCell ref="B2:D2"/>
    <mergeCell ref="E2:G2"/>
    <mergeCell ref="D3:D5"/>
    <mergeCell ref="E3:E5"/>
    <mergeCell ref="F3:F5"/>
    <mergeCell ref="G3:G5"/>
    <mergeCell ref="H3:H5"/>
    <mergeCell ref="I3:I5"/>
    <mergeCell ref="C17:H17"/>
    <mergeCell ref="C19:D19"/>
    <mergeCell ref="E19:F19"/>
    <mergeCell ref="G19:H19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landscape" paperSize="9" r:id="rId1"/>
  <headerFooter alignWithMargins="0">
    <oddHeader>&amp;CDEMONSTRATIVO I 
Prefeitura Municipal de Santa Maria         
Lei de Diretrizes Orçamentárias         
Anexo de Metas Fiscais         
METAS ANUAIS         
2019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32" sqref="D32"/>
    </sheetView>
  </sheetViews>
  <sheetFormatPr defaultColWidth="11.57421875" defaultRowHeight="12.75"/>
  <cols>
    <col min="1" max="1" width="23.00390625" style="1" customWidth="1"/>
    <col min="2" max="2" width="15.00390625" style="1" customWidth="1"/>
    <col min="3" max="3" width="10.7109375" style="1" customWidth="1"/>
    <col min="4" max="4" width="15.00390625" style="1" customWidth="1"/>
    <col min="5" max="5" width="10.7109375" style="1" customWidth="1"/>
    <col min="6" max="7" width="15.00390625" style="1" customWidth="1"/>
    <col min="8" max="16384" width="11.57421875" style="1" customWidth="1"/>
  </cols>
  <sheetData>
    <row r="1" spans="1:7" ht="12.75">
      <c r="A1" s="72" t="s">
        <v>17</v>
      </c>
      <c r="B1" s="72"/>
      <c r="C1" s="72"/>
      <c r="D1" s="72"/>
      <c r="E1" s="72"/>
      <c r="F1" s="72"/>
      <c r="G1" s="63">
        <v>1</v>
      </c>
    </row>
    <row r="2" spans="1:7" ht="12.75">
      <c r="A2" s="99" t="s">
        <v>0</v>
      </c>
      <c r="B2" s="95" t="s">
        <v>129</v>
      </c>
      <c r="C2" s="95" t="s">
        <v>18</v>
      </c>
      <c r="D2" s="95" t="s">
        <v>130</v>
      </c>
      <c r="E2" s="95" t="s">
        <v>18</v>
      </c>
      <c r="F2" s="95" t="s">
        <v>19</v>
      </c>
      <c r="G2" s="95"/>
    </row>
    <row r="3" spans="1:7" ht="12.75">
      <c r="A3" s="99"/>
      <c r="B3" s="95"/>
      <c r="C3" s="95"/>
      <c r="D3" s="95"/>
      <c r="E3" s="95"/>
      <c r="F3" s="95" t="s">
        <v>20</v>
      </c>
      <c r="G3" s="95" t="s">
        <v>21</v>
      </c>
    </row>
    <row r="4" spans="1:7" ht="12.75">
      <c r="A4" s="99"/>
      <c r="B4" s="95"/>
      <c r="C4" s="95"/>
      <c r="D4" s="95"/>
      <c r="E4" s="95"/>
      <c r="F4" s="95"/>
      <c r="G4" s="95"/>
    </row>
    <row r="5" spans="1:7" ht="17.25" customHeight="1">
      <c r="A5" s="25" t="s">
        <v>7</v>
      </c>
      <c r="B5" s="26">
        <v>620000000</v>
      </c>
      <c r="C5" s="27">
        <f>B5/427507000000*100</f>
        <v>0.14502686505718035</v>
      </c>
      <c r="D5" s="26">
        <f>'[1]EVOLUÇÃO DA RECEITA'!$D$22</f>
        <v>643926206.8500001</v>
      </c>
      <c r="E5" s="27">
        <f>D5/410276000000*100</f>
        <v>0.15694951858017533</v>
      </c>
      <c r="F5" s="26">
        <f>D5-B5</f>
        <v>23926206.850000143</v>
      </c>
      <c r="G5" s="28">
        <f>F5/B5</f>
        <v>0.03859065620967765</v>
      </c>
    </row>
    <row r="6" spans="1:7" ht="17.25" customHeight="1">
      <c r="A6" s="25" t="s">
        <v>22</v>
      </c>
      <c r="B6" s="26">
        <v>607448100</v>
      </c>
      <c r="C6" s="27">
        <f>B6/427507000000*100</f>
        <v>0.14209079617409773</v>
      </c>
      <c r="D6" s="26">
        <f>'[1]META DO RESULTADO PRIMÁRIO'!$D$25</f>
        <v>602112151.91</v>
      </c>
      <c r="E6" s="27">
        <f aca="true" t="shared" si="0" ref="E6:E12">D6/410276000000*100</f>
        <v>0.14675782934171142</v>
      </c>
      <c r="F6" s="26">
        <f aca="true" t="shared" si="1" ref="F6:F11">D6-B6</f>
        <v>-5335948.090000033</v>
      </c>
      <c r="G6" s="28">
        <f>F6/B6</f>
        <v>-0.008784204099082758</v>
      </c>
    </row>
    <row r="7" spans="1:7" ht="17.25" customHeight="1">
      <c r="A7" s="25" t="s">
        <v>9</v>
      </c>
      <c r="B7" s="26">
        <f>B5</f>
        <v>620000000</v>
      </c>
      <c r="C7" s="27">
        <f aca="true" t="shared" si="2" ref="C7:C12">B7/427507000000*100</f>
        <v>0.14502686505718035</v>
      </c>
      <c r="D7" s="26">
        <f>'[1]META DO RESULTADO PRIMÁRIO'!$D$26+'[1]META DO RESULTADO PRIMÁRIO'!$D$33</f>
        <v>625129939.71</v>
      </c>
      <c r="E7" s="27">
        <f t="shared" si="0"/>
        <v>0.1523681472252825</v>
      </c>
      <c r="F7" s="26">
        <f t="shared" si="1"/>
        <v>5129939.710000038</v>
      </c>
      <c r="G7" s="28">
        <f aca="true" t="shared" si="3" ref="G7:G12">F7/B7</f>
        <v>0.008274096306451675</v>
      </c>
    </row>
    <row r="8" spans="1:7" ht="17.25" customHeight="1">
      <c r="A8" s="25" t="s">
        <v>23</v>
      </c>
      <c r="B8" s="26">
        <v>593768200</v>
      </c>
      <c r="C8" s="27">
        <f t="shared" si="2"/>
        <v>0.13889087196233044</v>
      </c>
      <c r="D8" s="26">
        <f>'[1]META DO RESULTADO PRIMÁRIO'!$D$43</f>
        <v>597696547.33</v>
      </c>
      <c r="E8" s="27">
        <f t="shared" si="0"/>
        <v>0.14568157711638022</v>
      </c>
      <c r="F8" s="26">
        <f t="shared" si="1"/>
        <v>3928347.330000043</v>
      </c>
      <c r="G8" s="28">
        <f t="shared" si="3"/>
        <v>0.0066159611275916136</v>
      </c>
    </row>
    <row r="9" spans="1:7" ht="17.25" customHeight="1">
      <c r="A9" s="25" t="s">
        <v>11</v>
      </c>
      <c r="B9" s="26">
        <f>B6-B8</f>
        <v>13679900</v>
      </c>
      <c r="C9" s="27">
        <f t="shared" si="2"/>
        <v>0.0031999242117672928</v>
      </c>
      <c r="D9" s="26">
        <f>D6-D8</f>
        <v>4415604.579999924</v>
      </c>
      <c r="E9" s="27">
        <f t="shared" si="0"/>
        <v>0.001076252225331222</v>
      </c>
      <c r="F9" s="26">
        <f t="shared" si="1"/>
        <v>-9264295.420000076</v>
      </c>
      <c r="G9" s="28">
        <f t="shared" si="3"/>
        <v>-0.6772195279205313</v>
      </c>
    </row>
    <row r="10" spans="1:7" ht="17.25" customHeight="1">
      <c r="A10" s="25" t="s">
        <v>12</v>
      </c>
      <c r="B10" s="26">
        <v>-25152465.16</v>
      </c>
      <c r="C10" s="27">
        <f t="shared" si="2"/>
        <v>-0.005883521242927016</v>
      </c>
      <c r="D10" s="26">
        <f>'[1]META DO RESULTADO NOMINAL'!$D$15</f>
        <v>137016963.76</v>
      </c>
      <c r="E10" s="27">
        <f t="shared" si="0"/>
        <v>0.03339629024364086</v>
      </c>
      <c r="F10" s="26">
        <f t="shared" si="1"/>
        <v>162169428.92</v>
      </c>
      <c r="G10" s="28">
        <f t="shared" si="3"/>
        <v>-6.447456656371728</v>
      </c>
    </row>
    <row r="11" spans="1:7" ht="17.25" customHeight="1">
      <c r="A11" s="25" t="s">
        <v>13</v>
      </c>
      <c r="B11" s="26">
        <v>90000000</v>
      </c>
      <c r="C11" s="27">
        <f t="shared" si="2"/>
        <v>0.021052286863139084</v>
      </c>
      <c r="D11" s="26">
        <f>'[1]MONTANTE DA DÍVIDA PÚBLICA'!$D$2</f>
        <v>141933572.9</v>
      </c>
      <c r="E11" s="27">
        <f t="shared" si="0"/>
        <v>0.03459465649952715</v>
      </c>
      <c r="F11" s="26">
        <f t="shared" si="1"/>
        <v>51933572.900000006</v>
      </c>
      <c r="G11" s="28">
        <f t="shared" si="3"/>
        <v>0.577039698888889</v>
      </c>
    </row>
    <row r="12" spans="1:7" ht="17.25" customHeight="1">
      <c r="A12" s="25" t="s">
        <v>14</v>
      </c>
      <c r="B12" s="26">
        <v>-99200000</v>
      </c>
      <c r="C12" s="27">
        <f t="shared" si="2"/>
        <v>-0.023204298409148855</v>
      </c>
      <c r="D12" s="26">
        <f>'[1]MONTANTE DA DÍVIDA PÚBLICA'!$D$11</f>
        <v>63193767.16000001</v>
      </c>
      <c r="E12" s="27">
        <f t="shared" si="0"/>
        <v>0.015402745264163638</v>
      </c>
      <c r="F12" s="26">
        <f>D12-B12</f>
        <v>162393767.16000003</v>
      </c>
      <c r="G12" s="28">
        <f t="shared" si="3"/>
        <v>-1.6370339431451615</v>
      </c>
    </row>
    <row r="13" spans="1:10" ht="12.75">
      <c r="A13" s="109" t="s">
        <v>89</v>
      </c>
      <c r="B13" s="109"/>
      <c r="C13" s="109"/>
      <c r="D13" s="109"/>
      <c r="E13" s="109"/>
      <c r="F13" s="109"/>
      <c r="G13" s="109"/>
      <c r="H13" s="24"/>
      <c r="I13" s="24"/>
      <c r="J13" s="24"/>
    </row>
    <row r="15" ht="12.75">
      <c r="A15" s="2" t="s">
        <v>16</v>
      </c>
    </row>
    <row r="16" spans="1:10" ht="12.75" customHeight="1">
      <c r="A16" s="104" t="s">
        <v>133</v>
      </c>
      <c r="B16" s="104"/>
      <c r="C16" s="104"/>
      <c r="D16" s="104"/>
      <c r="E16" s="104"/>
      <c r="F16" s="104"/>
      <c r="G16" s="104"/>
      <c r="H16" s="23"/>
      <c r="I16" s="23"/>
      <c r="J16" s="23"/>
    </row>
  </sheetData>
  <sheetProtection/>
  <mergeCells count="10">
    <mergeCell ref="F3:F4"/>
    <mergeCell ref="G3:G4"/>
    <mergeCell ref="A13:G13"/>
    <mergeCell ref="A16:G16"/>
    <mergeCell ref="A2:A4"/>
    <mergeCell ref="B2:B4"/>
    <mergeCell ref="C2:C4"/>
    <mergeCell ref="D2:D4"/>
    <mergeCell ref="E2:E4"/>
    <mergeCell ref="F2:G2"/>
  </mergeCells>
  <printOptions horizontalCentered="1"/>
  <pageMargins left="0.3937007874015748" right="0.3937007874015748" top="1.7716535433070868" bottom="0.3937007874015748" header="0.4724409448818898" footer="0.5118110236220472"/>
  <pageSetup horizontalDpi="600" verticalDpi="600" orientation="landscape" paperSize="9" r:id="rId1"/>
  <headerFooter alignWithMargins="0">
    <oddHeader>&amp;CDEMONSTRATIVO II 
Prefeitura Municipal de Santa Maria      
Lei de Diretrizes Orçamentárias      
Anexo de Metas Fiscais      
AVALIAÇÃO DO CUMPRIMENTO DAS METAS FISCAIS DO EXERCÍCIO ANTERIOR
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M30" sqref="M30"/>
    </sheetView>
  </sheetViews>
  <sheetFormatPr defaultColWidth="11.57421875" defaultRowHeight="12.75"/>
  <cols>
    <col min="1" max="1" width="21.7109375" style="1" customWidth="1"/>
    <col min="2" max="2" width="12.7109375" style="1" customWidth="1"/>
    <col min="3" max="3" width="13.140625" style="1" customWidth="1"/>
    <col min="4" max="4" width="8.28125" style="1" customWidth="1"/>
    <col min="5" max="5" width="11.7109375" style="1" customWidth="1"/>
    <col min="6" max="6" width="9.28125" style="1" customWidth="1"/>
    <col min="7" max="7" width="12.7109375" style="1" customWidth="1"/>
    <col min="8" max="8" width="9.140625" style="1" customWidth="1"/>
    <col min="9" max="9" width="11.7109375" style="1" customWidth="1"/>
    <col min="10" max="10" width="10.57421875" style="1" customWidth="1"/>
    <col min="11" max="11" width="12.57421875" style="1" customWidth="1"/>
    <col min="12" max="12" width="8.8515625" style="1" customWidth="1"/>
    <col min="13" max="16384" width="11.57421875" style="1" customWidth="1"/>
  </cols>
  <sheetData>
    <row r="1" ht="9.75" customHeight="1">
      <c r="L1" s="63">
        <v>1</v>
      </c>
    </row>
    <row r="2" spans="1:12" ht="12.75">
      <c r="A2" s="99" t="s">
        <v>0</v>
      </c>
      <c r="B2" s="99" t="s">
        <v>24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2.75">
      <c r="A4" s="99"/>
      <c r="B4" s="112">
        <v>2016</v>
      </c>
      <c r="C4" s="112">
        <v>2017</v>
      </c>
      <c r="D4" s="112" t="s">
        <v>25</v>
      </c>
      <c r="E4" s="112">
        <v>2018</v>
      </c>
      <c r="F4" s="112" t="s">
        <v>25</v>
      </c>
      <c r="G4" s="112">
        <v>2019</v>
      </c>
      <c r="H4" s="112" t="s">
        <v>25</v>
      </c>
      <c r="I4" s="112">
        <v>2020</v>
      </c>
      <c r="J4" s="112" t="s">
        <v>25</v>
      </c>
      <c r="K4" s="112">
        <v>2021</v>
      </c>
      <c r="L4" s="112" t="s">
        <v>25</v>
      </c>
    </row>
    <row r="5" spans="1:12" ht="12.75">
      <c r="A5" s="99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3.5" customHeight="1">
      <c r="A6" s="25" t="s">
        <v>7</v>
      </c>
      <c r="B6" s="26">
        <f>'[1]EVOLUÇÃO DA RECEITA'!$C$22</f>
        <v>605545334.3399999</v>
      </c>
      <c r="C6" s="26">
        <f>'Demonstrativo II '!D5</f>
        <v>643926206.8500001</v>
      </c>
      <c r="D6" s="28">
        <f>(C6-B6)/B6</f>
        <v>0.06338232719079996</v>
      </c>
      <c r="E6" s="26">
        <f>'[1]EVOLUÇÃO DA RECEITA'!$E$22</f>
        <v>700000000</v>
      </c>
      <c r="F6" s="28">
        <f>(E6-C6)/C6</f>
        <v>0.08708108561741144</v>
      </c>
      <c r="G6" s="26">
        <f>'Demonstrativo I  '!B6</f>
        <v>713400000</v>
      </c>
      <c r="H6" s="28">
        <f>(G6-E6)/E6</f>
        <v>0.019142857142857142</v>
      </c>
      <c r="I6" s="26">
        <f>'Demonstrativo I  '!E6</f>
        <v>706000000</v>
      </c>
      <c r="J6" s="28">
        <f aca="true" t="shared" si="0" ref="J6:J13">(I6-G6)/G6</f>
        <v>-0.010372862349313148</v>
      </c>
      <c r="K6" s="26">
        <f>'Demonstrativo I  '!H6</f>
        <v>726000000</v>
      </c>
      <c r="L6" s="28">
        <f aca="true" t="shared" si="1" ref="L6:L13">(K6-I6)/I6</f>
        <v>0.028328611898016998</v>
      </c>
    </row>
    <row r="7" spans="1:12" ht="13.5" customHeight="1">
      <c r="A7" s="25" t="s">
        <v>8</v>
      </c>
      <c r="B7" s="26">
        <f>'[1]META DO RESULTADO PRIMÁRIO'!$C$25</f>
        <v>556944745.91</v>
      </c>
      <c r="C7" s="26">
        <f>'Demonstrativo II '!D6</f>
        <v>602112151.91</v>
      </c>
      <c r="D7" s="28">
        <f aca="true" t="shared" si="2" ref="D7:D13">(C7-B7)/B7</f>
        <v>0.08109854044174586</v>
      </c>
      <c r="E7" s="26">
        <f>'[1]META DO RESULTADO PRIMÁRIO'!$E$25</f>
        <v>587233450</v>
      </c>
      <c r="F7" s="28">
        <f aca="true" t="shared" si="3" ref="F7:F13">(E7-C7)/C7</f>
        <v>-0.02471084807506749</v>
      </c>
      <c r="G7" s="26">
        <f>'Demonstrativo I  '!B7</f>
        <v>603278400</v>
      </c>
      <c r="H7" s="28">
        <f aca="true" t="shared" si="4" ref="H7:H13">(G7-E7)/E7</f>
        <v>0.027322949671889432</v>
      </c>
      <c r="I7" s="26">
        <f>'Demonstrativo I  '!E7</f>
        <v>581277500</v>
      </c>
      <c r="J7" s="28">
        <f t="shared" si="0"/>
        <v>-0.036468900593822025</v>
      </c>
      <c r="K7" s="26">
        <f>'Demonstrativo I  '!H7</f>
        <v>597539000</v>
      </c>
      <c r="L7" s="28">
        <f t="shared" si="1"/>
        <v>0.027975450623841453</v>
      </c>
    </row>
    <row r="8" spans="1:12" ht="13.5" customHeight="1">
      <c r="A8" s="25" t="s">
        <v>9</v>
      </c>
      <c r="B8" s="26">
        <v>514476739.23</v>
      </c>
      <c r="C8" s="26">
        <f>'Demonstrativo II '!D7</f>
        <v>625129939.71</v>
      </c>
      <c r="D8" s="28">
        <f t="shared" si="2"/>
        <v>0.21507911250878112</v>
      </c>
      <c r="E8" s="26">
        <f>E6</f>
        <v>700000000</v>
      </c>
      <c r="F8" s="28">
        <f t="shared" si="3"/>
        <v>0.11976719644036317</v>
      </c>
      <c r="G8" s="26">
        <f>'Demonstrativo I  '!B8</f>
        <v>713400000</v>
      </c>
      <c r="H8" s="28">
        <f t="shared" si="4"/>
        <v>0.019142857142857142</v>
      </c>
      <c r="I8" s="26">
        <f>'Demonstrativo I  '!E8</f>
        <v>706000000</v>
      </c>
      <c r="J8" s="28">
        <f t="shared" si="0"/>
        <v>-0.010372862349313148</v>
      </c>
      <c r="K8" s="26">
        <f>'Demonstrativo I  '!H8</f>
        <v>726000000</v>
      </c>
      <c r="L8" s="28">
        <f t="shared" si="1"/>
        <v>0.028328611898016998</v>
      </c>
    </row>
    <row r="9" spans="1:12" ht="13.5" customHeight="1">
      <c r="A9" s="25" t="s">
        <v>10</v>
      </c>
      <c r="B9" s="26">
        <f>'[1]META DO RESULTADO PRIMÁRIO'!$C$43</f>
        <v>561685801.36</v>
      </c>
      <c r="C9" s="26">
        <f>'Demonstrativo II '!D8</f>
        <v>597696547.33</v>
      </c>
      <c r="D9" s="28">
        <f t="shared" si="2"/>
        <v>0.06411190363510674</v>
      </c>
      <c r="E9" s="26">
        <f>'[1]META DO RESULTADO PRIMÁRIO'!$E$43</f>
        <v>598755600</v>
      </c>
      <c r="F9" s="28">
        <f t="shared" si="3"/>
        <v>0.001771890225451199</v>
      </c>
      <c r="G9" s="26">
        <f>'Demonstrativo I  '!B9</f>
        <v>601820800</v>
      </c>
      <c r="H9" s="28">
        <f t="shared" si="4"/>
        <v>0.005119284061810862</v>
      </c>
      <c r="I9" s="26">
        <f>'Demonstrativo I  '!E9</f>
        <v>581013200</v>
      </c>
      <c r="J9" s="28">
        <f t="shared" si="0"/>
        <v>-0.03457441151917647</v>
      </c>
      <c r="K9" s="26">
        <f>'Demonstrativo I  '!H9</f>
        <v>598163800</v>
      </c>
      <c r="L9" s="28">
        <f t="shared" si="1"/>
        <v>0.029518434348823744</v>
      </c>
    </row>
    <row r="10" spans="1:12" ht="13.5" customHeight="1">
      <c r="A10" s="25" t="s">
        <v>11</v>
      </c>
      <c r="B10" s="26">
        <f>B7-B9</f>
        <v>-4741055.450000048</v>
      </c>
      <c r="C10" s="26">
        <f>'Demonstrativo II '!D9</f>
        <v>4415604.579999924</v>
      </c>
      <c r="D10" s="28">
        <f t="shared" si="2"/>
        <v>-1.93135476405362</v>
      </c>
      <c r="E10" s="26">
        <f>E7-E9</f>
        <v>-11522150</v>
      </c>
      <c r="F10" s="28">
        <f>(E10-C10)/C10</f>
        <v>-3.6094161719526525</v>
      </c>
      <c r="G10" s="26">
        <f>'Demonstrativo I  '!B10</f>
        <v>1457600</v>
      </c>
      <c r="H10" s="28">
        <f t="shared" si="4"/>
        <v>-1.1265041680589125</v>
      </c>
      <c r="I10" s="26">
        <f>'Demonstrativo I  '!E10</f>
        <v>264300</v>
      </c>
      <c r="J10" s="28">
        <f>(I10-G10)/G10</f>
        <v>-0.8186745334796927</v>
      </c>
      <c r="K10" s="26">
        <f>'Demonstrativo I  '!H10</f>
        <v>-624800</v>
      </c>
      <c r="L10" s="28">
        <f t="shared" si="1"/>
        <v>-3.363980325387817</v>
      </c>
    </row>
    <row r="11" spans="1:12" ht="13.5" customHeight="1">
      <c r="A11" s="25" t="s">
        <v>12</v>
      </c>
      <c r="B11" s="26">
        <f>'[1]META DO RESULTADO NOMINAL'!$C$15</f>
        <v>-11478044.099999994</v>
      </c>
      <c r="C11" s="26">
        <f>'[1]META DO RESULTADO NOMINAL'!$D$15</f>
        <v>137016963.76</v>
      </c>
      <c r="D11" s="28">
        <f t="shared" si="2"/>
        <v>-12.937309402740494</v>
      </c>
      <c r="E11" s="26">
        <f>'[1]META DO RESULTADO NOMINAL'!$E$15</f>
        <v>-14693767.160000011</v>
      </c>
      <c r="F11" s="28">
        <f t="shared" si="3"/>
        <v>-1.1072404960435245</v>
      </c>
      <c r="G11" s="26">
        <f>'Demonstrativo I  '!B11</f>
        <v>-11500000</v>
      </c>
      <c r="H11" s="28">
        <f t="shared" si="4"/>
        <v>-0.21735523131836593</v>
      </c>
      <c r="I11" s="26">
        <f>'Demonstrativo I  '!E11</f>
        <v>-4000000</v>
      </c>
      <c r="J11" s="28">
        <f t="shared" si="0"/>
        <v>-0.6521739130434783</v>
      </c>
      <c r="K11" s="26">
        <f>'Demonstrativo I  '!H11</f>
        <v>-12000000</v>
      </c>
      <c r="L11" s="28">
        <f t="shared" si="1"/>
        <v>2</v>
      </c>
    </row>
    <row r="12" spans="1:12" ht="13.5" customHeight="1">
      <c r="A12" s="25" t="s">
        <v>13</v>
      </c>
      <c r="B12" s="26">
        <f>'[1]MONTANTE DA DÍVIDA PÚBLICA'!$C$2</f>
        <v>115940110.63</v>
      </c>
      <c r="C12" s="26">
        <f>'Demonstrativo II '!D11</f>
        <v>141933572.9</v>
      </c>
      <c r="D12" s="28">
        <f t="shared" si="2"/>
        <v>0.22419732160643716</v>
      </c>
      <c r="E12" s="26">
        <f>'[1]META DO RESULTADO NOMINAL'!$E$3</f>
        <v>127000000</v>
      </c>
      <c r="F12" s="28">
        <f t="shared" si="3"/>
        <v>-0.10521522565011118</v>
      </c>
      <c r="G12" s="26">
        <f>'Demonstrativo I  '!B12</f>
        <v>120000000</v>
      </c>
      <c r="H12" s="28">
        <f t="shared" si="4"/>
        <v>-0.05511811023622047</v>
      </c>
      <c r="I12" s="26">
        <f>'Demonstrativo I  '!E12</f>
        <v>110000000</v>
      </c>
      <c r="J12" s="28">
        <f t="shared" si="0"/>
        <v>-0.08333333333333333</v>
      </c>
      <c r="K12" s="26">
        <f>'Demonstrativo I  '!H12</f>
        <v>100000000</v>
      </c>
      <c r="L12" s="28">
        <f t="shared" si="1"/>
        <v>-0.09090909090909091</v>
      </c>
    </row>
    <row r="13" spans="1:12" ht="13.5" customHeight="1">
      <c r="A13" s="25" t="s">
        <v>14</v>
      </c>
      <c r="B13" s="26">
        <f>'[1]MONTANTE DA DÍVIDA PÚBLICA'!$C$11</f>
        <v>-73823196.6</v>
      </c>
      <c r="C13" s="26">
        <f>'Demonstrativo II '!D12</f>
        <v>63193767.16000001</v>
      </c>
      <c r="D13" s="28">
        <f t="shared" si="2"/>
        <v>-1.8560150477146908</v>
      </c>
      <c r="E13" s="26">
        <f>'[1]META DO RESULTADO NOMINAL'!$E$12</f>
        <v>48500000</v>
      </c>
      <c r="F13" s="28">
        <f t="shared" si="3"/>
        <v>-0.2325192470769614</v>
      </c>
      <c r="G13" s="26">
        <f>'Demonstrativo I  '!B13</f>
        <v>37000000</v>
      </c>
      <c r="H13" s="28">
        <f t="shared" si="4"/>
        <v>-0.23711340206185566</v>
      </c>
      <c r="I13" s="26">
        <f>'Demonstrativo I  '!E13</f>
        <v>33000000</v>
      </c>
      <c r="J13" s="28">
        <f t="shared" si="0"/>
        <v>-0.10810810810810811</v>
      </c>
      <c r="K13" s="26">
        <f>'Demonstrativo I  '!H13</f>
        <v>21000000</v>
      </c>
      <c r="L13" s="28">
        <f t="shared" si="1"/>
        <v>-0.36363636363636365</v>
      </c>
    </row>
    <row r="14" ht="9" customHeight="1"/>
    <row r="15" spans="1:12" ht="12.75">
      <c r="A15" s="99" t="s">
        <v>0</v>
      </c>
      <c r="B15" s="99" t="s">
        <v>26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12.75">
      <c r="A17" s="99"/>
      <c r="B17" s="112">
        <v>2016</v>
      </c>
      <c r="C17" s="112">
        <v>2017</v>
      </c>
      <c r="D17" s="112" t="s">
        <v>25</v>
      </c>
      <c r="E17" s="112">
        <v>2018</v>
      </c>
      <c r="F17" s="112" t="s">
        <v>25</v>
      </c>
      <c r="G17" s="112">
        <v>2019</v>
      </c>
      <c r="H17" s="112" t="s">
        <v>25</v>
      </c>
      <c r="I17" s="112">
        <v>2020</v>
      </c>
      <c r="J17" s="112" t="s">
        <v>25</v>
      </c>
      <c r="K17" s="112">
        <v>2021</v>
      </c>
      <c r="L17" s="112" t="s">
        <v>25</v>
      </c>
    </row>
    <row r="18" spans="1:12" ht="12.75">
      <c r="A18" s="99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1:12" ht="15.75" customHeight="1">
      <c r="A19" s="25" t="s">
        <v>7</v>
      </c>
      <c r="B19" s="26">
        <f>B6*(1-A31)</f>
        <v>567456532.8100139</v>
      </c>
      <c r="C19" s="26">
        <f>C6*(1-B31)</f>
        <v>624930383.7479252</v>
      </c>
      <c r="D19" s="28">
        <f>(C19-B19)/B19</f>
        <v>0.10128326596806259</v>
      </c>
      <c r="E19" s="26">
        <f aca="true" t="shared" si="5" ref="E19:E26">E6*(1-$D$31)</f>
        <v>668500000</v>
      </c>
      <c r="F19" s="28">
        <f>(E19-C19)/C19</f>
        <v>0.06971915174098701</v>
      </c>
      <c r="G19" s="26">
        <f aca="true" t="shared" si="6" ref="G19:G26">G6*(1-$F$31)</f>
        <v>683080500</v>
      </c>
      <c r="H19" s="28">
        <f aca="true" t="shared" si="7" ref="H19:H26">(G19-E19)/E19</f>
        <v>0.02181077038145101</v>
      </c>
      <c r="I19" s="26">
        <f>I6*(1-$H$31)</f>
        <v>677760000</v>
      </c>
      <c r="J19" s="28">
        <f aca="true" t="shared" si="8" ref="J19:J26">(I19-G19)/G19</f>
        <v>-0.007788979483384462</v>
      </c>
      <c r="K19" s="26">
        <f>K6*(1-$J$31)</f>
        <v>696960000</v>
      </c>
      <c r="L19" s="28">
        <f aca="true" t="shared" si="9" ref="L19:L26">(K19-I19)/I19</f>
        <v>0.028328611898016998</v>
      </c>
    </row>
    <row r="20" spans="1:12" ht="15.75" customHeight="1">
      <c r="A20" s="25" t="s">
        <v>22</v>
      </c>
      <c r="B20" s="26">
        <f>B7*(1-A31)</f>
        <v>521912921.39226097</v>
      </c>
      <c r="C20" s="26">
        <f>C7*(1-B31)</f>
        <v>584349843.428655</v>
      </c>
      <c r="D20" s="28">
        <f aca="true" t="shared" si="10" ref="D20:D26">(C20-B20)/B20</f>
        <v>0.1196309182570851</v>
      </c>
      <c r="E20" s="26">
        <f t="shared" si="5"/>
        <v>560807944.75</v>
      </c>
      <c r="F20" s="28">
        <f aca="true" t="shared" si="11" ref="F20:F26">(E20-C20)/C20</f>
        <v>-0.04028733633352864</v>
      </c>
      <c r="G20" s="26">
        <f>G7*(1-$F$31)</f>
        <v>577639068</v>
      </c>
      <c r="H20" s="28">
        <f t="shared" si="7"/>
        <v>0.030012276765271344</v>
      </c>
      <c r="I20" s="26">
        <f aca="true" t="shared" si="12" ref="I20:I26">I7*(1-$H$31)</f>
        <v>558026400</v>
      </c>
      <c r="J20" s="28">
        <f t="shared" si="8"/>
        <v>-0.03395315359798344</v>
      </c>
      <c r="K20" s="26">
        <f>K7*(1-$J$31)</f>
        <v>573637440</v>
      </c>
      <c r="L20" s="28">
        <f t="shared" si="9"/>
        <v>0.027975450623841453</v>
      </c>
    </row>
    <row r="21" spans="1:12" ht="15.75" customHeight="1">
      <c r="A21" s="25" t="s">
        <v>9</v>
      </c>
      <c r="B21" s="26">
        <f aca="true" t="shared" si="13" ref="B21:B26">B8*(1-$A$31)</f>
        <v>482116152.33243304</v>
      </c>
      <c r="C21" s="26">
        <f aca="true" t="shared" si="14" ref="C21:C26">C8*(1-$B$31)</f>
        <v>606688606.4885551</v>
      </c>
      <c r="D21" s="28">
        <f t="shared" si="10"/>
        <v>0.2583868089742526</v>
      </c>
      <c r="E21" s="26">
        <f t="shared" si="5"/>
        <v>668500000</v>
      </c>
      <c r="F21" s="28">
        <f t="shared" si="11"/>
        <v>0.10188322782127436</v>
      </c>
      <c r="G21" s="26">
        <f t="shared" si="6"/>
        <v>683080500</v>
      </c>
      <c r="H21" s="28">
        <f t="shared" si="7"/>
        <v>0.02181077038145101</v>
      </c>
      <c r="I21" s="26">
        <f t="shared" si="12"/>
        <v>677760000</v>
      </c>
      <c r="J21" s="28">
        <f t="shared" si="8"/>
        <v>-0.007788979483384462</v>
      </c>
      <c r="K21" s="26">
        <f aca="true" t="shared" si="15" ref="K21:K26">K8*(1-$J$31)</f>
        <v>696960000</v>
      </c>
      <c r="L21" s="28">
        <f t="shared" si="9"/>
        <v>0.028328611898016998</v>
      </c>
    </row>
    <row r="22" spans="1:12" ht="15.75" customHeight="1">
      <c r="A22" s="25" t="s">
        <v>23</v>
      </c>
      <c r="B22" s="26">
        <f>B9*(1-$A$31)</f>
        <v>526355764.45445603</v>
      </c>
      <c r="C22" s="26">
        <f t="shared" si="14"/>
        <v>580064499.183765</v>
      </c>
      <c r="D22" s="28">
        <f t="shared" si="10"/>
        <v>0.10203884588397298</v>
      </c>
      <c r="E22" s="26">
        <f t="shared" si="5"/>
        <v>571811598</v>
      </c>
      <c r="F22" s="28">
        <f t="shared" si="11"/>
        <v>-0.0142275577894839</v>
      </c>
      <c r="G22" s="26">
        <f t="shared" si="6"/>
        <v>576243416</v>
      </c>
      <c r="H22" s="28">
        <f t="shared" si="7"/>
        <v>0.007750486376108797</v>
      </c>
      <c r="I22" s="26">
        <f t="shared" si="12"/>
        <v>557772672</v>
      </c>
      <c r="J22" s="28">
        <f t="shared" si="8"/>
        <v>-0.03205371807666779</v>
      </c>
      <c r="K22" s="26">
        <f t="shared" si="15"/>
        <v>574237248</v>
      </c>
      <c r="L22" s="28">
        <f t="shared" si="9"/>
        <v>0.029518434348823744</v>
      </c>
    </row>
    <row r="23" spans="1:12" ht="15.75" customHeight="1">
      <c r="A23" s="25" t="s">
        <v>11</v>
      </c>
      <c r="B23" s="26">
        <f t="shared" si="13"/>
        <v>-4442843.062195045</v>
      </c>
      <c r="C23" s="26">
        <f t="shared" si="14"/>
        <v>4285344.244889926</v>
      </c>
      <c r="D23" s="28">
        <f t="shared" si="10"/>
        <v>-1.9645499930786874</v>
      </c>
      <c r="E23" s="26">
        <f t="shared" si="5"/>
        <v>-11003653.25</v>
      </c>
      <c r="F23" s="28">
        <f t="shared" si="11"/>
        <v>-3.5677407977483595</v>
      </c>
      <c r="G23" s="26">
        <f t="shared" si="6"/>
        <v>1395652</v>
      </c>
      <c r="H23" s="28">
        <f t="shared" si="7"/>
        <v>-1.1268353308025223</v>
      </c>
      <c r="I23" s="26">
        <f t="shared" si="12"/>
        <v>253728</v>
      </c>
      <c r="J23" s="28">
        <f t="shared" si="8"/>
        <v>-0.8182010988412585</v>
      </c>
      <c r="K23" s="26">
        <f t="shared" si="15"/>
        <v>-599808</v>
      </c>
      <c r="L23" s="28">
        <f t="shared" si="9"/>
        <v>-3.363980325387817</v>
      </c>
    </row>
    <row r="24" spans="1:12" ht="15.75" customHeight="1">
      <c r="A24" s="25" t="s">
        <v>12</v>
      </c>
      <c r="B24" s="26">
        <f>B11*(1-$A$31)</f>
        <v>-10756075.126109995</v>
      </c>
      <c r="C24" s="26">
        <f>C11*(1-$B$31)</f>
        <v>132974963.32908</v>
      </c>
      <c r="D24" s="28">
        <f t="shared" si="10"/>
        <v>-13.362777478774571</v>
      </c>
      <c r="E24" s="26">
        <f t="shared" si="5"/>
        <v>-14032547.63780001</v>
      </c>
      <c r="F24" s="28">
        <f t="shared" si="11"/>
        <v>-1.1055277421139267</v>
      </c>
      <c r="G24" s="26">
        <f t="shared" si="6"/>
        <v>-11011250</v>
      </c>
      <c r="H24" s="28">
        <f t="shared" si="7"/>
        <v>-0.2153064230233878</v>
      </c>
      <c r="I24" s="26">
        <f t="shared" si="12"/>
        <v>-3840000</v>
      </c>
      <c r="J24" s="28">
        <f t="shared" si="8"/>
        <v>-0.6512657509365422</v>
      </c>
      <c r="K24" s="26">
        <f t="shared" si="15"/>
        <v>-11520000</v>
      </c>
      <c r="L24" s="28">
        <f t="shared" si="9"/>
        <v>2</v>
      </c>
    </row>
    <row r="25" spans="1:12" ht="15.75" customHeight="1">
      <c r="A25" s="25" t="s">
        <v>13</v>
      </c>
      <c r="B25" s="26">
        <f t="shared" si="13"/>
        <v>108647477.671373</v>
      </c>
      <c r="C25" s="26">
        <f t="shared" si="14"/>
        <v>137746532.49945</v>
      </c>
      <c r="D25" s="28">
        <f t="shared" si="10"/>
        <v>0.26783000813045266</v>
      </c>
      <c r="E25" s="26">
        <f t="shared" si="5"/>
        <v>121285000</v>
      </c>
      <c r="F25" s="28">
        <f t="shared" si="11"/>
        <v>-0.11950596650783733</v>
      </c>
      <c r="G25" s="26">
        <f t="shared" si="6"/>
        <v>114900000</v>
      </c>
      <c r="H25" s="28">
        <f t="shared" si="7"/>
        <v>-0.05264459743579173</v>
      </c>
      <c r="I25" s="26">
        <f t="shared" si="12"/>
        <v>105600000</v>
      </c>
      <c r="J25" s="28">
        <f t="shared" si="8"/>
        <v>-0.08093994778067885</v>
      </c>
      <c r="K25" s="26">
        <f t="shared" si="15"/>
        <v>96000000</v>
      </c>
      <c r="L25" s="28">
        <f t="shared" si="9"/>
        <v>-0.09090909090909091</v>
      </c>
    </row>
    <row r="26" spans="1:12" ht="15.75" customHeight="1">
      <c r="A26" s="25" t="s">
        <v>14</v>
      </c>
      <c r="B26" s="26">
        <f t="shared" si="13"/>
        <v>-69179717.53386</v>
      </c>
      <c r="C26" s="26">
        <f t="shared" si="14"/>
        <v>61329551.02878001</v>
      </c>
      <c r="D26" s="28">
        <f t="shared" si="10"/>
        <v>-1.8865250280728927</v>
      </c>
      <c r="E26" s="26">
        <f t="shared" si="5"/>
        <v>46317500</v>
      </c>
      <c r="F26" s="28">
        <f t="shared" si="11"/>
        <v>-0.24477679645388783</v>
      </c>
      <c r="G26" s="26">
        <f t="shared" si="6"/>
        <v>35427500</v>
      </c>
      <c r="H26" s="28">
        <f t="shared" si="7"/>
        <v>-0.23511631672693906</v>
      </c>
      <c r="I26" s="26">
        <f t="shared" si="12"/>
        <v>31680000</v>
      </c>
      <c r="J26" s="28">
        <f t="shared" si="8"/>
        <v>-0.10577940865147131</v>
      </c>
      <c r="K26" s="26">
        <f t="shared" si="15"/>
        <v>20160000</v>
      </c>
      <c r="L26" s="28">
        <f t="shared" si="9"/>
        <v>-0.36363636363636365</v>
      </c>
    </row>
    <row r="27" spans="1:12" ht="12.75">
      <c r="A27" s="109" t="s">
        <v>89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ht="10.5" customHeight="1">
      <c r="A28" s="2"/>
    </row>
    <row r="29" spans="1:11" ht="12.75" customHeight="1">
      <c r="A29" s="99" t="s">
        <v>27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ht="12.75">
      <c r="A30" s="45">
        <v>2016</v>
      </c>
      <c r="B30" s="111">
        <v>2017</v>
      </c>
      <c r="C30" s="111"/>
      <c r="D30" s="111">
        <v>2018</v>
      </c>
      <c r="E30" s="111"/>
      <c r="F30" s="111">
        <v>2019</v>
      </c>
      <c r="G30" s="111"/>
      <c r="H30" s="111">
        <v>2020</v>
      </c>
      <c r="I30" s="111"/>
      <c r="J30" s="111">
        <v>2021</v>
      </c>
      <c r="K30" s="111"/>
    </row>
    <row r="31" spans="1:11" ht="12.75">
      <c r="A31" s="28">
        <v>0.0629</v>
      </c>
      <c r="B31" s="110">
        <v>0.0295</v>
      </c>
      <c r="C31" s="110"/>
      <c r="D31" s="110">
        <v>0.045</v>
      </c>
      <c r="E31" s="110"/>
      <c r="F31" s="110">
        <v>0.0425</v>
      </c>
      <c r="G31" s="110"/>
      <c r="H31" s="110">
        <v>0.04</v>
      </c>
      <c r="I31" s="110"/>
      <c r="J31" s="110">
        <v>0.04</v>
      </c>
      <c r="K31" s="110"/>
    </row>
    <row r="32" ht="12.75">
      <c r="A32" s="2" t="s">
        <v>134</v>
      </c>
    </row>
    <row r="33" spans="1:11" ht="27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</row>
  </sheetData>
  <sheetProtection/>
  <mergeCells count="39">
    <mergeCell ref="A27:L27"/>
    <mergeCell ref="F17:F18"/>
    <mergeCell ref="G17:G18"/>
    <mergeCell ref="H17:H18"/>
    <mergeCell ref="I17:I18"/>
    <mergeCell ref="J17:J18"/>
    <mergeCell ref="K17:K18"/>
    <mergeCell ref="D17:D18"/>
    <mergeCell ref="E17:E18"/>
    <mergeCell ref="A29:K29"/>
    <mergeCell ref="A33:K33"/>
    <mergeCell ref="I4:I5"/>
    <mergeCell ref="J4:J5"/>
    <mergeCell ref="K4:K5"/>
    <mergeCell ref="A15:A18"/>
    <mergeCell ref="B15:L16"/>
    <mergeCell ref="B17:B18"/>
    <mergeCell ref="C17:C18"/>
    <mergeCell ref="L17:L18"/>
    <mergeCell ref="A2:A5"/>
    <mergeCell ref="B2:L3"/>
    <mergeCell ref="B4:B5"/>
    <mergeCell ref="C4:C5"/>
    <mergeCell ref="D4:D5"/>
    <mergeCell ref="E4:E5"/>
    <mergeCell ref="F4:F5"/>
    <mergeCell ref="G4:G5"/>
    <mergeCell ref="H4:H5"/>
    <mergeCell ref="L4:L5"/>
    <mergeCell ref="J31:K31"/>
    <mergeCell ref="B30:C30"/>
    <mergeCell ref="B31:C31"/>
    <mergeCell ref="D31:E31"/>
    <mergeCell ref="F31:G31"/>
    <mergeCell ref="H31:I31"/>
    <mergeCell ref="D30:E30"/>
    <mergeCell ref="F30:G30"/>
    <mergeCell ref="H30:I30"/>
    <mergeCell ref="J30:K30"/>
  </mergeCells>
  <printOptions horizontalCentered="1"/>
  <pageMargins left="0.2362204724409449" right="0.3937007874015748" top="1.6535433070866143" bottom="0.1968503937007874" header="0.4330708661417323" footer="0.2362204724409449"/>
  <pageSetup horizontalDpi="600" verticalDpi="600" orientation="landscape" paperSize="9" r:id="rId1"/>
  <headerFooter alignWithMargins="0">
    <oddHeader xml:space="preserve">&amp;CDEMONSTRATIVO III            
Prefeitura Municipal de Santa Maria           
Lei de Diretrizes Orçamentárias 
Anexo de Metas Fiscais 
METAS FISCAIS ATUAIS COMPARADAS COM FIXADAS NOS TRÊS EXERCÍCIOS ANTERIORES           
2019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I21" sqref="I21"/>
    </sheetView>
  </sheetViews>
  <sheetFormatPr defaultColWidth="11.57421875" defaultRowHeight="12.75"/>
  <cols>
    <col min="1" max="1" width="28.421875" style="1" customWidth="1"/>
    <col min="2" max="2" width="17.7109375" style="1" customWidth="1"/>
    <col min="3" max="3" width="8.57421875" style="1" customWidth="1"/>
    <col min="4" max="4" width="17.7109375" style="1" customWidth="1"/>
    <col min="5" max="5" width="8.57421875" style="1" bestFit="1" customWidth="1"/>
    <col min="6" max="6" width="17.7109375" style="1" customWidth="1"/>
    <col min="7" max="7" width="8.28125" style="1" customWidth="1"/>
    <col min="8" max="8" width="11.57421875" style="1" customWidth="1"/>
    <col min="9" max="9" width="15.28125" style="1" customWidth="1"/>
    <col min="10" max="16384" width="11.57421875" style="1" customWidth="1"/>
  </cols>
  <sheetData>
    <row r="1" spans="1:7" ht="12.75">
      <c r="A1" s="2" t="s">
        <v>28</v>
      </c>
      <c r="G1" s="63">
        <v>1</v>
      </c>
    </row>
    <row r="2" spans="1:7" ht="18.75" customHeight="1">
      <c r="A2" s="113" t="s">
        <v>29</v>
      </c>
      <c r="B2" s="98">
        <v>2017</v>
      </c>
      <c r="C2" s="112" t="s">
        <v>25</v>
      </c>
      <c r="D2" s="98">
        <v>2016</v>
      </c>
      <c r="E2" s="112" t="s">
        <v>25</v>
      </c>
      <c r="F2" s="98">
        <v>2015</v>
      </c>
      <c r="G2" s="112" t="s">
        <v>25</v>
      </c>
    </row>
    <row r="3" spans="1:7" ht="18.75" customHeight="1">
      <c r="A3" s="113"/>
      <c r="B3" s="98"/>
      <c r="C3" s="112"/>
      <c r="D3" s="98"/>
      <c r="E3" s="112"/>
      <c r="F3" s="98"/>
      <c r="G3" s="112"/>
    </row>
    <row r="4" spans="1:7" ht="18.75" customHeight="1">
      <c r="A4" s="11" t="s">
        <v>30</v>
      </c>
      <c r="B4" s="29">
        <v>628586374.9</v>
      </c>
      <c r="C4" s="32">
        <f>B4/B7</f>
        <v>0.9456814506820419</v>
      </c>
      <c r="D4" s="29">
        <v>284332244</v>
      </c>
      <c r="E4" s="32">
        <f>D4/D7</f>
        <v>0.4523359960597834</v>
      </c>
      <c r="F4" s="29">
        <v>347067958.01</v>
      </c>
      <c r="G4" s="35">
        <f>F4/F7</f>
        <v>1.2206422779472015</v>
      </c>
    </row>
    <row r="5" spans="1:7" ht="18.75" customHeight="1">
      <c r="A5" s="12" t="s">
        <v>31</v>
      </c>
      <c r="B5" s="30">
        <v>0</v>
      </c>
      <c r="C5" s="33">
        <f>B5/B7</f>
        <v>0</v>
      </c>
      <c r="D5" s="30">
        <v>0</v>
      </c>
      <c r="E5" s="33">
        <f>D5/D7</f>
        <v>0</v>
      </c>
      <c r="F5" s="30">
        <f>2921410.34-2149064.14</f>
        <v>772346.1999999997</v>
      </c>
      <c r="G5" s="36">
        <f>F5/F7</f>
        <v>0.002716351086794077</v>
      </c>
    </row>
    <row r="6" spans="1:7" ht="18.75" customHeight="1">
      <c r="A6" s="13" t="s">
        <v>32</v>
      </c>
      <c r="B6" s="31">
        <f>2277565874.4-2241460799.08</f>
        <v>36105075.32000017</v>
      </c>
      <c r="C6" s="34">
        <f>B6/B7</f>
        <v>0.054318549317958105</v>
      </c>
      <c r="D6" s="31">
        <f>2078365153.25-1734111022.35</f>
        <v>344254130.9000001</v>
      </c>
      <c r="E6" s="34">
        <f>D6/D7</f>
        <v>0.5476640039402165</v>
      </c>
      <c r="F6" s="31">
        <f>2164349068.11+656217265.45-4377898.53-2879696495.24</f>
        <v>-63508060.20999956</v>
      </c>
      <c r="G6" s="37">
        <f>F6/F7</f>
        <v>-0.22335862903399542</v>
      </c>
    </row>
    <row r="7" spans="1:7" s="3" customFormat="1" ht="18.75" customHeight="1">
      <c r="A7" s="8" t="s">
        <v>33</v>
      </c>
      <c r="B7" s="8">
        <f>B4+B6+B5</f>
        <v>664691450.2200001</v>
      </c>
      <c r="C7" s="38">
        <f>SUM(E4:E6)</f>
        <v>1</v>
      </c>
      <c r="D7" s="8">
        <f>D4+D6+D5</f>
        <v>628586374.9000001</v>
      </c>
      <c r="E7" s="38">
        <f>SUM(G4:G6)</f>
        <v>1</v>
      </c>
      <c r="F7" s="8">
        <f>F4+F6+F5</f>
        <v>284332244.0000004</v>
      </c>
      <c r="G7" s="38">
        <f>SUM(G4:G6)</f>
        <v>1</v>
      </c>
    </row>
    <row r="9" spans="2:4" ht="12.75">
      <c r="B9" s="73"/>
      <c r="D9" s="73"/>
    </row>
    <row r="10" spans="2:4" ht="12.75">
      <c r="B10" s="73"/>
      <c r="D10" s="73"/>
    </row>
    <row r="11" spans="1:7" s="4" customFormat="1" ht="24" customHeight="1">
      <c r="A11" s="114" t="s">
        <v>34</v>
      </c>
      <c r="B11" s="114"/>
      <c r="C11" s="114"/>
      <c r="D11" s="114"/>
      <c r="E11" s="114"/>
      <c r="F11" s="114"/>
      <c r="G11" s="114"/>
    </row>
    <row r="12" spans="1:7" ht="15.75" customHeight="1">
      <c r="A12" s="113" t="s">
        <v>29</v>
      </c>
      <c r="B12" s="98">
        <v>2017</v>
      </c>
      <c r="C12" s="112" t="s">
        <v>25</v>
      </c>
      <c r="D12" s="98">
        <v>2016</v>
      </c>
      <c r="E12" s="112" t="s">
        <v>25</v>
      </c>
      <c r="F12" s="98">
        <v>2015</v>
      </c>
      <c r="G12" s="112" t="s">
        <v>25</v>
      </c>
    </row>
    <row r="13" spans="1:7" ht="15.75" customHeight="1">
      <c r="A13" s="113"/>
      <c r="B13" s="98"/>
      <c r="C13" s="112"/>
      <c r="D13" s="98"/>
      <c r="E13" s="112"/>
      <c r="F13" s="98"/>
      <c r="G13" s="112"/>
    </row>
    <row r="14" spans="1:7" ht="15.75" customHeight="1">
      <c r="A14" s="11" t="s">
        <v>30</v>
      </c>
      <c r="B14" s="29">
        <v>30041488.43</v>
      </c>
      <c r="C14" s="32">
        <f>B14/B17</f>
        <v>0.741024853442707</v>
      </c>
      <c r="D14" s="29">
        <v>37937987.14</v>
      </c>
      <c r="E14" s="32">
        <f>D14/D17</f>
        <v>1.2628531115693424</v>
      </c>
      <c r="F14" s="29">
        <v>49719153.92</v>
      </c>
      <c r="G14" s="35">
        <f>F14/F17</f>
        <v>1.3105374762378583</v>
      </c>
    </row>
    <row r="15" spans="1:7" ht="15.75" customHeight="1">
      <c r="A15" s="12" t="s">
        <v>31</v>
      </c>
      <c r="B15" s="30">
        <v>0</v>
      </c>
      <c r="C15" s="33">
        <f>B15/B17</f>
        <v>0</v>
      </c>
      <c r="D15" s="30">
        <v>0</v>
      </c>
      <c r="E15" s="33">
        <f>D15/D17</f>
        <v>0</v>
      </c>
      <c r="F15" s="30">
        <f>2921410.34-1206596.56</f>
        <v>1714813.7799999998</v>
      </c>
      <c r="G15" s="36">
        <f>F15/F17</f>
        <v>0.04520044180709786</v>
      </c>
    </row>
    <row r="16" spans="1:7" ht="15.75" customHeight="1">
      <c r="A16" s="13" t="s">
        <v>32</v>
      </c>
      <c r="B16" s="31">
        <f>1154670637.19-1128567856.8-15603808.82</f>
        <v>10498971.570000105</v>
      </c>
      <c r="C16" s="34">
        <f>B16/B17</f>
        <v>0.2589751465572931</v>
      </c>
      <c r="D16" s="31">
        <f>590039351.46-597935850.17</f>
        <v>-7896498.709999919</v>
      </c>
      <c r="E16" s="34">
        <f>D16/D17</f>
        <v>-0.2628531115693424</v>
      </c>
      <c r="F16" s="31">
        <f>656217265.45+976918312.57-4377898.53-1642253660.05</f>
        <v>-13495980.559999943</v>
      </c>
      <c r="G16" s="37">
        <f>F16/F17</f>
        <v>-0.3557379180449562</v>
      </c>
    </row>
    <row r="17" spans="1:7" s="3" customFormat="1" ht="15.75" customHeight="1">
      <c r="A17" s="8" t="s">
        <v>33</v>
      </c>
      <c r="B17" s="8">
        <f>B14+B15+B16</f>
        <v>40540460.000000104</v>
      </c>
      <c r="C17" s="38">
        <f>SUM(C14:C16)</f>
        <v>1</v>
      </c>
      <c r="D17" s="8">
        <f>D14+D15+D16</f>
        <v>30041488.43000008</v>
      </c>
      <c r="E17" s="38">
        <f>SUM(E14:E16)</f>
        <v>1</v>
      </c>
      <c r="F17" s="8">
        <f>F14+F15+F16</f>
        <v>37937987.14000006</v>
      </c>
      <c r="G17" s="38">
        <f>SUM(G14:G16)</f>
        <v>1</v>
      </c>
    </row>
    <row r="18" spans="1:12" ht="12.75">
      <c r="A18" s="107" t="s">
        <v>89</v>
      </c>
      <c r="B18" s="107"/>
      <c r="C18" s="107"/>
      <c r="D18" s="107"/>
      <c r="E18" s="107"/>
      <c r="F18" s="107"/>
      <c r="G18" s="107"/>
      <c r="H18" s="24"/>
      <c r="I18" s="24"/>
      <c r="J18" s="24"/>
      <c r="K18" s="24"/>
      <c r="L18" s="24"/>
    </row>
    <row r="20" spans="2:6" ht="12.75">
      <c r="B20" s="73"/>
      <c r="D20" s="73"/>
      <c r="F20" s="73"/>
    </row>
  </sheetData>
  <sheetProtection/>
  <mergeCells count="16">
    <mergeCell ref="F12:F13"/>
    <mergeCell ref="G12:G13"/>
    <mergeCell ref="E2:E3"/>
    <mergeCell ref="F2:F3"/>
    <mergeCell ref="A18:G18"/>
    <mergeCell ref="G2:G3"/>
    <mergeCell ref="A11:G11"/>
    <mergeCell ref="A12:A13"/>
    <mergeCell ref="B12:B13"/>
    <mergeCell ref="C12:C13"/>
    <mergeCell ref="D12:D13"/>
    <mergeCell ref="E12:E13"/>
    <mergeCell ref="A2:A3"/>
    <mergeCell ref="B2:B3"/>
    <mergeCell ref="C2:C3"/>
    <mergeCell ref="D2:D3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&amp;CDEMONSTRATIVO  IV 
Prefeitura Municipal de Santa Maria      
Lei de Diretrizes Orçamentárias      
Anexo de Metas Fiscais      
EVOLUÇÃO DO PATRIMÔNIO LÍQUIDO      
2019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10" sqref="F10"/>
    </sheetView>
  </sheetViews>
  <sheetFormatPr defaultColWidth="11.57421875" defaultRowHeight="12.75"/>
  <cols>
    <col min="1" max="1" width="52.28125" style="1" customWidth="1"/>
    <col min="2" max="4" width="15.140625" style="1" customWidth="1"/>
    <col min="5" max="16384" width="11.57421875" style="1" customWidth="1"/>
  </cols>
  <sheetData>
    <row r="1" spans="1:4" ht="12.75">
      <c r="A1" s="2" t="s">
        <v>35</v>
      </c>
      <c r="D1" s="63">
        <v>1</v>
      </c>
    </row>
    <row r="2" spans="1:4" ht="12.75">
      <c r="A2" s="115" t="s">
        <v>36</v>
      </c>
      <c r="B2" s="6">
        <v>2017</v>
      </c>
      <c r="C2" s="6">
        <v>2016</v>
      </c>
      <c r="D2" s="6">
        <v>2015</v>
      </c>
    </row>
    <row r="3" spans="1:4" ht="12.75">
      <c r="A3" s="115"/>
      <c r="B3" s="6" t="s">
        <v>37</v>
      </c>
      <c r="C3" s="6" t="s">
        <v>38</v>
      </c>
      <c r="D3" s="6"/>
    </row>
    <row r="4" spans="1:4" ht="15" customHeight="1">
      <c r="A4" s="9" t="s">
        <v>111</v>
      </c>
      <c r="B4" s="10"/>
      <c r="C4" s="10"/>
      <c r="D4" s="12"/>
    </row>
    <row r="5" spans="1:4" ht="15" customHeight="1">
      <c r="A5" s="9" t="s">
        <v>110</v>
      </c>
      <c r="B5" s="10">
        <v>126711.49</v>
      </c>
      <c r="C5" s="10"/>
      <c r="D5" s="12"/>
    </row>
    <row r="6" spans="1:4" ht="15" customHeight="1">
      <c r="A6" s="9" t="s">
        <v>39</v>
      </c>
      <c r="B6" s="10"/>
      <c r="C6" s="10"/>
      <c r="D6" s="12"/>
    </row>
    <row r="7" spans="1:4" ht="15" customHeight="1">
      <c r="A7" s="9" t="s">
        <v>40</v>
      </c>
      <c r="B7" s="10">
        <f>B8+B9</f>
        <v>124561.46</v>
      </c>
      <c r="C7" s="10">
        <f>C8+C9</f>
        <v>170880.34</v>
      </c>
      <c r="D7" s="12">
        <f>D8+D9</f>
        <v>192647.72</v>
      </c>
    </row>
    <row r="8" spans="1:4" ht="15" customHeight="1">
      <c r="A8" s="9" t="s">
        <v>41</v>
      </c>
      <c r="B8" s="10">
        <v>0</v>
      </c>
      <c r="C8" s="10">
        <v>48981</v>
      </c>
      <c r="D8" s="12">
        <v>21300</v>
      </c>
    </row>
    <row r="9" spans="1:4" ht="15" customHeight="1">
      <c r="A9" s="9" t="s">
        <v>42</v>
      </c>
      <c r="B9" s="10">
        <v>124561.46</v>
      </c>
      <c r="C9" s="10">
        <v>121899.34</v>
      </c>
      <c r="D9" s="13">
        <v>171347.72</v>
      </c>
    </row>
    <row r="10" spans="1:4" s="3" customFormat="1" ht="15" customHeight="1">
      <c r="A10" s="7" t="s">
        <v>43</v>
      </c>
      <c r="B10" s="8">
        <f>B7+B5</f>
        <v>251272.95</v>
      </c>
      <c r="C10" s="8">
        <f>C7+C5</f>
        <v>170880.34</v>
      </c>
      <c r="D10" s="8">
        <f>D7+D5</f>
        <v>192647.72</v>
      </c>
    </row>
    <row r="12" spans="1:4" ht="12.75">
      <c r="A12" s="116" t="s">
        <v>44</v>
      </c>
      <c r="B12" s="14">
        <v>2017</v>
      </c>
      <c r="C12" s="14">
        <v>2016</v>
      </c>
      <c r="D12" s="16">
        <v>2015</v>
      </c>
    </row>
    <row r="13" spans="1:4" ht="12.75">
      <c r="A13" s="117"/>
      <c r="B13" s="15" t="s">
        <v>45</v>
      </c>
      <c r="C13" s="15" t="s">
        <v>45</v>
      </c>
      <c r="D13" s="17" t="s">
        <v>46</v>
      </c>
    </row>
    <row r="14" spans="1:4" ht="15" customHeight="1">
      <c r="A14" s="18" t="s">
        <v>47</v>
      </c>
      <c r="B14" s="11"/>
      <c r="C14" s="11"/>
      <c r="D14" s="11"/>
    </row>
    <row r="15" spans="1:4" ht="15" customHeight="1">
      <c r="A15" s="19" t="s">
        <v>48</v>
      </c>
      <c r="B15" s="12"/>
      <c r="C15" s="12"/>
      <c r="D15" s="12"/>
    </row>
    <row r="16" spans="1:4" ht="15" customHeight="1">
      <c r="A16" s="19" t="s">
        <v>49</v>
      </c>
      <c r="B16" s="12">
        <f>2065+79000</f>
        <v>81065</v>
      </c>
      <c r="C16" s="12">
        <f>43605.96+138600</f>
        <v>182205.96</v>
      </c>
      <c r="D16" s="12">
        <v>138600</v>
      </c>
    </row>
    <row r="17" spans="1:4" ht="15" customHeight="1">
      <c r="A17" s="19" t="s">
        <v>50</v>
      </c>
      <c r="B17" s="12">
        <v>0</v>
      </c>
      <c r="C17" s="12">
        <v>0</v>
      </c>
      <c r="D17" s="12">
        <v>0</v>
      </c>
    </row>
    <row r="18" spans="1:4" ht="15" customHeight="1">
      <c r="A18" s="19" t="s">
        <v>51</v>
      </c>
      <c r="B18" s="12">
        <v>0</v>
      </c>
      <c r="C18" s="12">
        <v>0</v>
      </c>
      <c r="D18" s="12">
        <v>0</v>
      </c>
    </row>
    <row r="19" spans="1:4" ht="15" customHeight="1">
      <c r="A19" s="19" t="s">
        <v>52</v>
      </c>
      <c r="B19" s="12"/>
      <c r="C19" s="12"/>
      <c r="D19" s="12"/>
    </row>
    <row r="20" spans="1:4" ht="15" customHeight="1">
      <c r="A20" s="19" t="s">
        <v>53</v>
      </c>
      <c r="B20" s="12">
        <v>0</v>
      </c>
      <c r="C20" s="12">
        <v>0</v>
      </c>
      <c r="D20" s="12">
        <v>0</v>
      </c>
    </row>
    <row r="21" spans="1:4" ht="15" customHeight="1">
      <c r="A21" s="20" t="s">
        <v>54</v>
      </c>
      <c r="B21" s="13">
        <v>0</v>
      </c>
      <c r="C21" s="13">
        <v>0</v>
      </c>
      <c r="D21" s="13">
        <v>0</v>
      </c>
    </row>
    <row r="22" spans="1:4" s="3" customFormat="1" ht="15" customHeight="1">
      <c r="A22" s="7" t="s">
        <v>43</v>
      </c>
      <c r="B22" s="8">
        <f>B16+B17+B18+B20+B21</f>
        <v>81065</v>
      </c>
      <c r="C22" s="8">
        <f>C16+C17+C18+C20+C21</f>
        <v>182205.96</v>
      </c>
      <c r="D22" s="8">
        <f>D16+D17+D18+D20+D21</f>
        <v>138600</v>
      </c>
    </row>
    <row r="24" spans="1:4" ht="15" customHeight="1">
      <c r="A24" s="118" t="s">
        <v>55</v>
      </c>
      <c r="B24" s="21" t="s">
        <v>56</v>
      </c>
      <c r="C24" s="21" t="s">
        <v>57</v>
      </c>
      <c r="D24" s="21" t="s">
        <v>58</v>
      </c>
    </row>
    <row r="25" spans="1:4" s="5" customFormat="1" ht="15" customHeight="1">
      <c r="A25" s="118"/>
      <c r="B25" s="22">
        <f>B10-B22+C25</f>
        <v>1398333.45</v>
      </c>
      <c r="C25" s="22">
        <f>C10-C22+D25</f>
        <v>1228125.5</v>
      </c>
      <c r="D25" s="22">
        <v>1239451.12</v>
      </c>
    </row>
    <row r="26" spans="1:10" ht="12.75">
      <c r="A26" s="107" t="s">
        <v>89</v>
      </c>
      <c r="B26" s="107"/>
      <c r="C26" s="107"/>
      <c r="D26" s="107"/>
      <c r="E26" s="24"/>
      <c r="F26" s="24"/>
      <c r="G26" s="24"/>
      <c r="H26" s="24"/>
      <c r="I26" s="24"/>
      <c r="J26" s="24"/>
    </row>
    <row r="28" ht="12.75">
      <c r="A28" s="2" t="s">
        <v>112</v>
      </c>
    </row>
    <row r="29" spans="1:4" ht="12.75">
      <c r="A29" s="119"/>
      <c r="B29" s="119"/>
      <c r="C29" s="119"/>
      <c r="D29" s="119"/>
    </row>
  </sheetData>
  <sheetProtection/>
  <mergeCells count="5">
    <mergeCell ref="A2:A3"/>
    <mergeCell ref="A12:A13"/>
    <mergeCell ref="A24:A25"/>
    <mergeCell ref="A29:D29"/>
    <mergeCell ref="A26:D26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&amp;CDEMONSTRATIVO V 
Prefeitura Municipal de Santa Maria    
Lei de Diretrizes Orçamentárias    
Anexo de Metas Fiscais    
 ORIGEM E APLICAÇÃO DOS RECURSOS OBTIDOS COM A ALIENAÇÃO DE ATIVOS    
2019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45" sqref="A45"/>
    </sheetView>
  </sheetViews>
  <sheetFormatPr defaultColWidth="11.57421875" defaultRowHeight="12.75"/>
  <cols>
    <col min="1" max="1" width="51.8515625" style="1" customWidth="1"/>
    <col min="2" max="3" width="13.8515625" style="1" bestFit="1" customWidth="1"/>
    <col min="4" max="4" width="13.28125" style="1" bestFit="1" customWidth="1"/>
    <col min="5" max="16384" width="11.57421875" style="1" customWidth="1"/>
  </cols>
  <sheetData>
    <row r="1" spans="1:4" ht="12.75">
      <c r="A1" s="54" t="s">
        <v>91</v>
      </c>
      <c r="B1" s="46"/>
      <c r="C1" s="47"/>
      <c r="D1" s="48">
        <v>1</v>
      </c>
    </row>
    <row r="2" spans="1:4" ht="12.75">
      <c r="A2" s="120" t="s">
        <v>135</v>
      </c>
      <c r="B2" s="120"/>
      <c r="C2" s="120"/>
      <c r="D2" s="120"/>
    </row>
    <row r="3" spans="1:4" ht="12.75">
      <c r="A3" s="121" t="s">
        <v>136</v>
      </c>
      <c r="B3" s="121"/>
      <c r="C3" s="121"/>
      <c r="D3" s="121"/>
    </row>
    <row r="4" spans="1:4" ht="18" customHeight="1">
      <c r="A4" s="85" t="s">
        <v>137</v>
      </c>
      <c r="B4" s="75">
        <v>2015</v>
      </c>
      <c r="C4" s="75">
        <v>2016</v>
      </c>
      <c r="D4" s="75">
        <v>2017</v>
      </c>
    </row>
    <row r="5" spans="1:4" ht="12.75">
      <c r="A5" s="58" t="s">
        <v>138</v>
      </c>
      <c r="B5" s="61">
        <f>SUM(B6,B25,B31,B15)</f>
        <v>75416626.05000001</v>
      </c>
      <c r="C5" s="61">
        <f>SUM(C6,C25,C31,C15)</f>
        <v>84592708.45</v>
      </c>
      <c r="D5" s="61">
        <f>SUM(D6,D25,D31,D15)</f>
        <v>89723562.03</v>
      </c>
    </row>
    <row r="6" spans="1:4" ht="12.75">
      <c r="A6" s="58" t="s">
        <v>92</v>
      </c>
      <c r="B6" s="61">
        <f>B7</f>
        <v>15905370.000000002</v>
      </c>
      <c r="C6" s="61">
        <f>C7</f>
        <v>17887019.150000002</v>
      </c>
      <c r="D6" s="61">
        <f>D7</f>
        <v>20688065.279999997</v>
      </c>
    </row>
    <row r="7" spans="1:4" ht="12.75">
      <c r="A7" s="58" t="s">
        <v>139</v>
      </c>
      <c r="B7" s="61">
        <f>SUM(B8:B10)</f>
        <v>15905370.000000002</v>
      </c>
      <c r="C7" s="61">
        <f>SUM(C8:C10)</f>
        <v>17887019.150000002</v>
      </c>
      <c r="D7" s="61">
        <f>SUM(D8:D10)</f>
        <v>20688065.279999997</v>
      </c>
    </row>
    <row r="8" spans="1:4" ht="12.75">
      <c r="A8" s="58" t="s">
        <v>140</v>
      </c>
      <c r="B8" s="61">
        <v>14206830.46</v>
      </c>
      <c r="C8" s="61">
        <v>15790923.49</v>
      </c>
      <c r="D8" s="61">
        <v>18190859.74</v>
      </c>
    </row>
    <row r="9" spans="1:4" ht="12.75">
      <c r="A9" s="58" t="s">
        <v>141</v>
      </c>
      <c r="B9" s="61">
        <v>1662203.07</v>
      </c>
      <c r="C9" s="61">
        <v>2059364.09</v>
      </c>
      <c r="D9" s="61">
        <v>2455485.89</v>
      </c>
    </row>
    <row r="10" spans="1:4" ht="12.75">
      <c r="A10" s="58" t="s">
        <v>142</v>
      </c>
      <c r="B10" s="61">
        <v>36336.47</v>
      </c>
      <c r="C10" s="61">
        <v>36731.57</v>
      </c>
      <c r="D10" s="61">
        <v>41719.65</v>
      </c>
    </row>
    <row r="11" spans="1:4" ht="12.75">
      <c r="A11" s="58" t="s">
        <v>143</v>
      </c>
      <c r="B11" s="61" t="s">
        <v>144</v>
      </c>
      <c r="C11" s="61" t="s">
        <v>144</v>
      </c>
      <c r="D11" s="61" t="s">
        <v>144</v>
      </c>
    </row>
    <row r="12" spans="1:4" ht="12.75">
      <c r="A12" s="58" t="s">
        <v>140</v>
      </c>
      <c r="B12" s="61" t="s">
        <v>144</v>
      </c>
      <c r="C12" s="61" t="s">
        <v>144</v>
      </c>
      <c r="D12" s="61" t="s">
        <v>144</v>
      </c>
    </row>
    <row r="13" spans="1:4" ht="12.75">
      <c r="A13" s="58" t="s">
        <v>141</v>
      </c>
      <c r="B13" s="61" t="s">
        <v>144</v>
      </c>
      <c r="C13" s="61" t="s">
        <v>144</v>
      </c>
      <c r="D13" s="61" t="s">
        <v>144</v>
      </c>
    </row>
    <row r="14" spans="1:4" ht="12.75">
      <c r="A14" s="58" t="s">
        <v>142</v>
      </c>
      <c r="B14" s="61" t="s">
        <v>144</v>
      </c>
      <c r="C14" s="61" t="s">
        <v>144</v>
      </c>
      <c r="D14" s="61" t="s">
        <v>144</v>
      </c>
    </row>
    <row r="15" spans="1:4" ht="12.75">
      <c r="A15" s="58" t="s">
        <v>145</v>
      </c>
      <c r="B15" s="61">
        <f>B16</f>
        <v>25610161.15</v>
      </c>
      <c r="C15" s="61">
        <f>C16</f>
        <v>28168003.63</v>
      </c>
      <c r="D15" s="61">
        <f>D16</f>
        <v>29766808.53</v>
      </c>
    </row>
    <row r="16" spans="1:4" ht="12.75">
      <c r="A16" s="58" t="s">
        <v>139</v>
      </c>
      <c r="B16" s="61">
        <f>SUM(B17:B19)</f>
        <v>25610161.15</v>
      </c>
      <c r="C16" s="61">
        <f>SUM(C17:C19)</f>
        <v>28168003.63</v>
      </c>
      <c r="D16" s="61">
        <f>SUM(D17:D19)</f>
        <v>29766808.53</v>
      </c>
    </row>
    <row r="17" spans="1:4" ht="12.75">
      <c r="A17" s="58" t="s">
        <v>140</v>
      </c>
      <c r="B17" s="61">
        <v>25610161.15</v>
      </c>
      <c r="C17" s="61">
        <v>28168003.63</v>
      </c>
      <c r="D17" s="61">
        <v>29766808.53</v>
      </c>
    </row>
    <row r="18" spans="1:4" ht="12.75">
      <c r="A18" s="58" t="s">
        <v>141</v>
      </c>
      <c r="B18" s="61" t="s">
        <v>144</v>
      </c>
      <c r="C18" s="61" t="s">
        <v>144</v>
      </c>
      <c r="D18" s="61" t="s">
        <v>144</v>
      </c>
    </row>
    <row r="19" spans="1:4" ht="12.75">
      <c r="A19" s="58" t="s">
        <v>142</v>
      </c>
      <c r="B19" s="61" t="s">
        <v>144</v>
      </c>
      <c r="C19" s="61" t="s">
        <v>144</v>
      </c>
      <c r="D19" s="61" t="s">
        <v>144</v>
      </c>
    </row>
    <row r="20" spans="1:4" ht="12.75">
      <c r="A20" s="58" t="s">
        <v>143</v>
      </c>
      <c r="B20" s="61" t="s">
        <v>144</v>
      </c>
      <c r="C20" s="61" t="s">
        <v>144</v>
      </c>
      <c r="D20" s="61" t="s">
        <v>144</v>
      </c>
    </row>
    <row r="21" spans="1:4" ht="12.75">
      <c r="A21" s="58" t="s">
        <v>140</v>
      </c>
      <c r="B21" s="61" t="s">
        <v>144</v>
      </c>
      <c r="C21" s="61" t="s">
        <v>144</v>
      </c>
      <c r="D21" s="61" t="s">
        <v>144</v>
      </c>
    </row>
    <row r="22" spans="1:4" ht="12.75">
      <c r="A22" s="58" t="s">
        <v>141</v>
      </c>
      <c r="B22" s="61" t="s">
        <v>144</v>
      </c>
      <c r="C22" s="61" t="s">
        <v>144</v>
      </c>
      <c r="D22" s="61" t="s">
        <v>144</v>
      </c>
    </row>
    <row r="23" spans="1:4" ht="12.75">
      <c r="A23" s="58" t="s">
        <v>142</v>
      </c>
      <c r="B23" s="61" t="s">
        <v>144</v>
      </c>
      <c r="C23" s="61" t="s">
        <v>144</v>
      </c>
      <c r="D23" s="61" t="s">
        <v>144</v>
      </c>
    </row>
    <row r="24" spans="1:4" ht="12.75">
      <c r="A24" s="58" t="s">
        <v>146</v>
      </c>
      <c r="B24" s="61" t="s">
        <v>144</v>
      </c>
      <c r="C24" s="61" t="s">
        <v>144</v>
      </c>
      <c r="D24" s="61" t="s">
        <v>144</v>
      </c>
    </row>
    <row r="25" spans="1:4" ht="12.75">
      <c r="A25" s="58" t="s">
        <v>93</v>
      </c>
      <c r="B25" s="61">
        <f>B27</f>
        <v>24989811.69</v>
      </c>
      <c r="C25" s="61">
        <f>C27</f>
        <v>31995529.28</v>
      </c>
      <c r="D25" s="61">
        <f>D27</f>
        <v>27540182.71</v>
      </c>
    </row>
    <row r="26" spans="1:4" ht="12.75">
      <c r="A26" s="58" t="s">
        <v>147</v>
      </c>
      <c r="B26" s="61" t="s">
        <v>144</v>
      </c>
      <c r="C26" s="61" t="s">
        <v>144</v>
      </c>
      <c r="D26" s="61" t="s">
        <v>144</v>
      </c>
    </row>
    <row r="27" spans="1:4" ht="12.75">
      <c r="A27" s="58" t="s">
        <v>148</v>
      </c>
      <c r="B27" s="61">
        <v>24989811.69</v>
      </c>
      <c r="C27" s="61">
        <v>31995529.28</v>
      </c>
      <c r="D27" s="61">
        <v>27540182.71</v>
      </c>
    </row>
    <row r="28" spans="1:4" ht="12.75">
      <c r="A28" s="58" t="s">
        <v>149</v>
      </c>
      <c r="B28" s="61" t="s">
        <v>144</v>
      </c>
      <c r="C28" s="61" t="s">
        <v>144</v>
      </c>
      <c r="D28" s="61" t="s">
        <v>144</v>
      </c>
    </row>
    <row r="29" spans="1:4" ht="12.75">
      <c r="A29" s="58" t="s">
        <v>94</v>
      </c>
      <c r="B29" s="61" t="s">
        <v>144</v>
      </c>
      <c r="C29" s="61" t="s">
        <v>144</v>
      </c>
      <c r="D29" s="61" t="s">
        <v>144</v>
      </c>
    </row>
    <row r="30" spans="1:4" ht="12.75">
      <c r="A30" s="58" t="s">
        <v>150</v>
      </c>
      <c r="B30" s="61" t="s">
        <v>144</v>
      </c>
      <c r="C30" s="61" t="s">
        <v>144</v>
      </c>
      <c r="D30" s="61" t="s">
        <v>144</v>
      </c>
    </row>
    <row r="31" spans="1:4" ht="12.75">
      <c r="A31" s="58" t="s">
        <v>95</v>
      </c>
      <c r="B31" s="61">
        <f>SUM(B32:B33)</f>
        <v>8911283.21</v>
      </c>
      <c r="C31" s="61">
        <f>SUM(C32:C33)</f>
        <v>6542156.39</v>
      </c>
      <c r="D31" s="61">
        <f>SUM(D32:D33)</f>
        <v>11728505.510000002</v>
      </c>
    </row>
    <row r="32" spans="1:4" ht="12.75">
      <c r="A32" s="59" t="s">
        <v>96</v>
      </c>
      <c r="B32" s="61">
        <v>8442339.47</v>
      </c>
      <c r="C32" s="61">
        <v>6070761.29</v>
      </c>
      <c r="D32" s="61">
        <v>4425491.57</v>
      </c>
    </row>
    <row r="33" spans="1:4" ht="12.75">
      <c r="A33" s="58" t="s">
        <v>151</v>
      </c>
      <c r="B33" s="61">
        <v>468943.74</v>
      </c>
      <c r="C33" s="61">
        <v>471395.1</v>
      </c>
      <c r="D33" s="61">
        <v>7303013.94</v>
      </c>
    </row>
    <row r="34" spans="1:4" ht="12.75">
      <c r="A34" s="58" t="s">
        <v>152</v>
      </c>
      <c r="B34" s="61" t="s">
        <v>144</v>
      </c>
      <c r="C34" s="61" t="s">
        <v>144</v>
      </c>
      <c r="D34" s="61" t="s">
        <v>144</v>
      </c>
    </row>
    <row r="35" spans="1:4" ht="12.75">
      <c r="A35" s="58" t="s">
        <v>97</v>
      </c>
      <c r="B35" s="61" t="s">
        <v>144</v>
      </c>
      <c r="C35" s="61" t="s">
        <v>144</v>
      </c>
      <c r="D35" s="61" t="s">
        <v>144</v>
      </c>
    </row>
    <row r="36" spans="1:4" ht="12.75">
      <c r="A36" s="59" t="s">
        <v>98</v>
      </c>
      <c r="B36" s="61" t="s">
        <v>144</v>
      </c>
      <c r="C36" s="61" t="s">
        <v>144</v>
      </c>
      <c r="D36" s="61" t="s">
        <v>144</v>
      </c>
    </row>
    <row r="37" spans="1:4" ht="12.75">
      <c r="A37" s="58" t="s">
        <v>99</v>
      </c>
      <c r="B37" s="61" t="s">
        <v>144</v>
      </c>
      <c r="C37" s="61" t="s">
        <v>144</v>
      </c>
      <c r="D37" s="61" t="s">
        <v>144</v>
      </c>
    </row>
    <row r="38" spans="1:4" ht="12" customHeight="1">
      <c r="A38" s="85" t="s">
        <v>154</v>
      </c>
      <c r="B38" s="86">
        <f>B5</f>
        <v>75416626.05000001</v>
      </c>
      <c r="C38" s="86">
        <f>C5</f>
        <v>84592708.45</v>
      </c>
      <c r="D38" s="86">
        <f>D5</f>
        <v>89723562.03</v>
      </c>
    </row>
    <row r="39" spans="1:4" ht="9.75" customHeight="1">
      <c r="A39" s="87"/>
      <c r="B39" s="88"/>
      <c r="C39" s="88"/>
      <c r="D39" s="88"/>
    </row>
    <row r="40" spans="1:4" ht="12.75">
      <c r="A40" s="85" t="s">
        <v>153</v>
      </c>
      <c r="B40" s="75">
        <v>2015</v>
      </c>
      <c r="C40" s="75">
        <v>2016</v>
      </c>
      <c r="D40" s="75">
        <v>2017</v>
      </c>
    </row>
    <row r="41" spans="1:4" ht="12.75">
      <c r="A41" s="58" t="s">
        <v>155</v>
      </c>
      <c r="B41" s="61">
        <f>SUM(B42:B43)</f>
        <v>1689499.83</v>
      </c>
      <c r="C41" s="61">
        <f>SUM(C42:C43)</f>
        <v>1806101.9</v>
      </c>
      <c r="D41" s="61">
        <f>SUM(D42:D43)</f>
        <v>1880748.63</v>
      </c>
    </row>
    <row r="42" spans="1:4" ht="12.75">
      <c r="A42" s="58" t="s">
        <v>100</v>
      </c>
      <c r="B42" s="61">
        <v>1664724.08</v>
      </c>
      <c r="C42" s="61">
        <v>1784868.5</v>
      </c>
      <c r="D42" s="61">
        <v>1875326.63</v>
      </c>
    </row>
    <row r="43" spans="1:4" ht="12.75">
      <c r="A43" s="58" t="s">
        <v>101</v>
      </c>
      <c r="B43" s="61">
        <v>24775.75</v>
      </c>
      <c r="C43" s="61">
        <v>21233.4</v>
      </c>
      <c r="D43" s="61">
        <v>5422</v>
      </c>
    </row>
    <row r="44" spans="1:4" ht="12.75">
      <c r="A44" s="56" t="s">
        <v>156</v>
      </c>
      <c r="B44" s="61">
        <f>B45+B53</f>
        <v>80564898.29</v>
      </c>
      <c r="C44" s="61">
        <f>C45+C53</f>
        <v>97665275.14000002</v>
      </c>
      <c r="D44" s="61">
        <f>D45+D53</f>
        <v>114306785.96000001</v>
      </c>
    </row>
    <row r="45" spans="1:4" ht="12.75">
      <c r="A45" s="58" t="s">
        <v>157</v>
      </c>
      <c r="B45" s="61">
        <f>SUM(B46:B48)</f>
        <v>80102329.25</v>
      </c>
      <c r="C45" s="61">
        <f>SUM(C46:C48)</f>
        <v>97338524.49000001</v>
      </c>
      <c r="D45" s="61">
        <f>SUM(D46:D48)</f>
        <v>113423914.33000001</v>
      </c>
    </row>
    <row r="46" spans="1:4" ht="12.75">
      <c r="A46" s="58" t="s">
        <v>158</v>
      </c>
      <c r="B46" s="61">
        <v>68773968.37</v>
      </c>
      <c r="C46" s="61">
        <v>84146600.48</v>
      </c>
      <c r="D46" s="61">
        <v>98782425.95</v>
      </c>
    </row>
    <row r="47" spans="1:4" ht="12.75">
      <c r="A47" s="58" t="s">
        <v>159</v>
      </c>
      <c r="B47" s="61">
        <v>9180168.72</v>
      </c>
      <c r="C47" s="61">
        <v>10506188.45</v>
      </c>
      <c r="D47" s="61">
        <v>11788247.54</v>
      </c>
    </row>
    <row r="48" spans="1:4" ht="12.75">
      <c r="A48" s="56" t="s">
        <v>160</v>
      </c>
      <c r="B48" s="61">
        <v>2148192.16</v>
      </c>
      <c r="C48" s="61">
        <v>2685735.56</v>
      </c>
      <c r="D48" s="61">
        <v>2853240.84</v>
      </c>
    </row>
    <row r="49" spans="1:4" ht="12.75">
      <c r="A49" s="58" t="s">
        <v>157</v>
      </c>
      <c r="B49" s="61" t="s">
        <v>144</v>
      </c>
      <c r="C49" s="61" t="s">
        <v>144</v>
      </c>
      <c r="D49" s="61" t="s">
        <v>144</v>
      </c>
    </row>
    <row r="50" spans="1:4" ht="12.75">
      <c r="A50" s="58" t="s">
        <v>158</v>
      </c>
      <c r="B50" s="61" t="s">
        <v>144</v>
      </c>
      <c r="C50" s="61" t="s">
        <v>144</v>
      </c>
      <c r="D50" s="61" t="s">
        <v>144</v>
      </c>
    </row>
    <row r="51" spans="1:4" ht="12.75" customHeight="1">
      <c r="A51" s="58" t="s">
        <v>159</v>
      </c>
      <c r="B51" s="61" t="s">
        <v>144</v>
      </c>
      <c r="C51" s="61" t="s">
        <v>144</v>
      </c>
      <c r="D51" s="61" t="s">
        <v>144</v>
      </c>
    </row>
    <row r="52" spans="1:4" ht="13.5" customHeight="1">
      <c r="A52" s="56" t="s">
        <v>160</v>
      </c>
      <c r="B52" s="61" t="s">
        <v>144</v>
      </c>
      <c r="C52" s="61" t="s">
        <v>144</v>
      </c>
      <c r="D52" s="61" t="s">
        <v>144</v>
      </c>
    </row>
    <row r="53" spans="1:4" ht="13.5" customHeight="1">
      <c r="A53" s="56" t="s">
        <v>102</v>
      </c>
      <c r="B53" s="61">
        <f>SUM(B54:B55)</f>
        <v>462569.04000000004</v>
      </c>
      <c r="C53" s="61">
        <f>SUM(C54:C55)</f>
        <v>326750.65</v>
      </c>
      <c r="D53" s="61">
        <f>SUM(D54:D55)</f>
        <v>882871.63</v>
      </c>
    </row>
    <row r="54" spans="1:4" ht="13.5" customHeight="1">
      <c r="A54" s="56" t="s">
        <v>103</v>
      </c>
      <c r="B54" s="61">
        <v>328830.08</v>
      </c>
      <c r="C54" s="61">
        <v>268326.88</v>
      </c>
      <c r="D54" s="61">
        <v>192223.98</v>
      </c>
    </row>
    <row r="55" spans="1:4" ht="13.5" customHeight="1">
      <c r="A55" s="56" t="s">
        <v>60</v>
      </c>
      <c r="B55" s="61">
        <v>133738.96</v>
      </c>
      <c r="C55" s="61">
        <v>58423.77</v>
      </c>
      <c r="D55" s="61">
        <v>690647.65</v>
      </c>
    </row>
    <row r="56" spans="1:4" ht="12" customHeight="1">
      <c r="A56" s="85" t="s">
        <v>104</v>
      </c>
      <c r="B56" s="86">
        <f>B41+B44</f>
        <v>82254398.12</v>
      </c>
      <c r="C56" s="86">
        <f>C41+C44</f>
        <v>99471377.04000002</v>
      </c>
      <c r="D56" s="86">
        <f>D41+D44</f>
        <v>116187534.59</v>
      </c>
    </row>
    <row r="57" spans="1:4" ht="12" customHeight="1">
      <c r="A57" s="87"/>
      <c r="B57" s="88"/>
      <c r="C57" s="88"/>
      <c r="D57" s="88"/>
    </row>
    <row r="58" spans="1:4" s="3" customFormat="1" ht="12.75">
      <c r="A58" s="89" t="s">
        <v>161</v>
      </c>
      <c r="B58" s="90">
        <f>B38-B56</f>
        <v>-6837772.069999993</v>
      </c>
      <c r="C58" s="90">
        <f>C38-C56</f>
        <v>-14878668.590000018</v>
      </c>
      <c r="D58" s="90">
        <f>D38-D56</f>
        <v>-26463972.560000002</v>
      </c>
    </row>
    <row r="59" spans="1:4" ht="12" customHeight="1">
      <c r="A59" s="87"/>
      <c r="B59" s="88"/>
      <c r="C59" s="88"/>
      <c r="D59" s="88"/>
    </row>
    <row r="60" spans="1:4" s="3" customFormat="1" ht="12.75">
      <c r="A60" s="89" t="s">
        <v>105</v>
      </c>
      <c r="B60" s="75">
        <v>2015</v>
      </c>
      <c r="C60" s="75">
        <v>2016</v>
      </c>
      <c r="D60" s="75">
        <v>2017</v>
      </c>
    </row>
    <row r="61" spans="1:4" ht="12" customHeight="1">
      <c r="A61" s="91" t="s">
        <v>162</v>
      </c>
      <c r="B61" s="92">
        <v>28673000</v>
      </c>
      <c r="C61" s="92">
        <v>16157600</v>
      </c>
      <c r="D61" s="92">
        <v>8904100</v>
      </c>
    </row>
    <row r="62" spans="1:4" ht="12.75">
      <c r="A62" s="53"/>
      <c r="B62" s="51"/>
      <c r="C62" s="52"/>
      <c r="D62" s="52"/>
    </row>
    <row r="63" spans="1:4" ht="16.5" customHeight="1">
      <c r="A63" s="93" t="s">
        <v>163</v>
      </c>
      <c r="B63" s="75">
        <v>2013</v>
      </c>
      <c r="C63" s="75">
        <v>2014</v>
      </c>
      <c r="D63" s="75">
        <v>2015</v>
      </c>
    </row>
    <row r="64" spans="1:4" ht="12.75">
      <c r="A64" s="50" t="s">
        <v>164</v>
      </c>
      <c r="B64" s="60">
        <v>21901731.65</v>
      </c>
      <c r="C64" s="61">
        <v>28273565.94</v>
      </c>
      <c r="D64" s="61">
        <v>35806970.01</v>
      </c>
    </row>
    <row r="65" spans="1:4" ht="12.75">
      <c r="A65" s="56" t="s">
        <v>165</v>
      </c>
      <c r="B65" s="61" t="s">
        <v>144</v>
      </c>
      <c r="C65" s="61" t="s">
        <v>144</v>
      </c>
      <c r="D65" s="61" t="s">
        <v>144</v>
      </c>
    </row>
    <row r="66" spans="1:4" ht="12.75">
      <c r="A66" s="56" t="s">
        <v>166</v>
      </c>
      <c r="B66" s="61">
        <v>9184128.09</v>
      </c>
      <c r="C66" s="61">
        <v>9771016.08</v>
      </c>
      <c r="D66" s="61">
        <v>9991963.75</v>
      </c>
    </row>
    <row r="67" spans="1:4" ht="12.75">
      <c r="A67" s="57" t="s">
        <v>167</v>
      </c>
      <c r="B67" s="52" t="s">
        <v>144</v>
      </c>
      <c r="C67" s="52" t="s">
        <v>144</v>
      </c>
      <c r="D67" s="52" t="s">
        <v>144</v>
      </c>
    </row>
    <row r="68" spans="1:4" ht="12" customHeight="1">
      <c r="A68" s="87"/>
      <c r="B68" s="88"/>
      <c r="C68" s="88"/>
      <c r="D68" s="88"/>
    </row>
    <row r="69" spans="1:4" ht="12.75">
      <c r="A69" s="89" t="s">
        <v>106</v>
      </c>
      <c r="B69" s="75">
        <v>2015</v>
      </c>
      <c r="C69" s="75">
        <v>2016</v>
      </c>
      <c r="D69" s="75">
        <v>2017</v>
      </c>
    </row>
    <row r="70" spans="1:4" ht="12.75">
      <c r="A70" s="50" t="s">
        <v>168</v>
      </c>
      <c r="B70" s="60">
        <v>75848</v>
      </c>
      <c r="C70" s="61">
        <v>57165.8</v>
      </c>
      <c r="D70" s="61">
        <v>52503.5</v>
      </c>
    </row>
    <row r="71" spans="1:4" ht="12.75">
      <c r="A71" s="56" t="s">
        <v>169</v>
      </c>
      <c r="B71" s="61">
        <v>215533309.45</v>
      </c>
      <c r="C71" s="61">
        <v>237969866.39</v>
      </c>
      <c r="D71" s="61">
        <v>256721544.23</v>
      </c>
    </row>
    <row r="72" spans="1:4" ht="12.75">
      <c r="A72" s="57" t="s">
        <v>170</v>
      </c>
      <c r="B72" s="49">
        <v>10385570.36</v>
      </c>
      <c r="C72" s="49">
        <v>6396923.92</v>
      </c>
      <c r="D72" s="49">
        <v>13172623.3</v>
      </c>
    </row>
    <row r="73" spans="1:5" ht="12.75">
      <c r="A73" s="76" t="s">
        <v>171</v>
      </c>
      <c r="B73" s="76"/>
      <c r="C73" s="76"/>
      <c r="D73" s="78"/>
      <c r="E73" s="76"/>
    </row>
    <row r="74" spans="2:4" ht="12.75">
      <c r="B74" s="73"/>
      <c r="C74" s="73"/>
      <c r="D74" s="73"/>
    </row>
  </sheetData>
  <sheetProtection/>
  <mergeCells count="2">
    <mergeCell ref="A2:D2"/>
    <mergeCell ref="A3:D3"/>
  </mergeCells>
  <printOptions horizontalCentered="1"/>
  <pageMargins left="0.3937007874015748" right="0.3937007874015748" top="1.5748031496062993" bottom="0.1968503937007874" header="0.31496062992125984" footer="0.15748031496062992"/>
  <pageSetup horizontalDpi="600" verticalDpi="600" orientation="portrait" paperSize="9" r:id="rId1"/>
  <headerFooter alignWithMargins="0">
    <oddHeader>&amp;CDEMONSTRATIVO VI 
Prefeitura Municipal de Santa Maria
Lei de Diretrizes Orçamentárias
Anexo de Metas Fiscais
RECEITAS E DESPESAS PREVIDENCIÁRIAS DO RPPS
2019
</oddHeader>
  </headerFooter>
  <rowBreaks count="1" manualBreakCount="1">
    <brk id="5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38">
      <selection activeCell="D80" sqref="D80"/>
    </sheetView>
  </sheetViews>
  <sheetFormatPr defaultColWidth="11.57421875" defaultRowHeight="12.75"/>
  <cols>
    <col min="1" max="1" width="11.7109375" style="1" customWidth="1"/>
    <col min="2" max="5" width="20.7109375" style="1" customWidth="1"/>
    <col min="6" max="6" width="14.00390625" style="1" bestFit="1" customWidth="1"/>
    <col min="7" max="255" width="11.57421875" style="1" customWidth="1"/>
  </cols>
  <sheetData>
    <row r="1" spans="1:5" ht="12.75">
      <c r="A1" s="55" t="s">
        <v>107</v>
      </c>
      <c r="B1" s="50"/>
      <c r="C1" s="50"/>
      <c r="D1" s="62"/>
      <c r="E1" s="63">
        <v>1</v>
      </c>
    </row>
    <row r="2" spans="1:5" ht="12.75" customHeight="1">
      <c r="A2" s="123" t="s">
        <v>61</v>
      </c>
      <c r="B2" s="123" t="s">
        <v>115</v>
      </c>
      <c r="C2" s="123" t="s">
        <v>59</v>
      </c>
      <c r="D2" s="123" t="s">
        <v>62</v>
      </c>
      <c r="E2" s="124" t="s">
        <v>63</v>
      </c>
    </row>
    <row r="3" spans="1:5" ht="25.5" customHeight="1">
      <c r="A3" s="123"/>
      <c r="B3" s="123"/>
      <c r="C3" s="123"/>
      <c r="D3" s="123"/>
      <c r="E3" s="125"/>
    </row>
    <row r="4" spans="1:5" ht="12.75" customHeight="1">
      <c r="A4" s="123"/>
      <c r="B4" s="64" t="s">
        <v>64</v>
      </c>
      <c r="C4" s="64" t="s">
        <v>65</v>
      </c>
      <c r="D4" s="64" t="s">
        <v>66</v>
      </c>
      <c r="E4" s="126" t="s">
        <v>70</v>
      </c>
    </row>
    <row r="5" spans="1:5" ht="12.75">
      <c r="A5" s="39"/>
      <c r="B5" s="39" t="s">
        <v>67</v>
      </c>
      <c r="C5" s="39" t="s">
        <v>68</v>
      </c>
      <c r="D5" s="65" t="s">
        <v>69</v>
      </c>
      <c r="E5" s="127"/>
    </row>
    <row r="6" spans="1:5" ht="12.75">
      <c r="A6" s="66">
        <v>2017</v>
      </c>
      <c r="B6" s="77">
        <v>97788795.74</v>
      </c>
      <c r="C6" s="77">
        <v>117785315</v>
      </c>
      <c r="D6" s="68">
        <f>B6-C6</f>
        <v>-19996519.260000005</v>
      </c>
      <c r="E6" s="67">
        <v>256774047.92</v>
      </c>
    </row>
    <row r="7" spans="1:6" ht="12.75">
      <c r="A7" s="66">
        <v>2018</v>
      </c>
      <c r="B7" s="77">
        <v>98766683.69</v>
      </c>
      <c r="C7" s="77">
        <v>118864070.39</v>
      </c>
      <c r="D7" s="68">
        <f aca="true" t="shared" si="0" ref="D7:D70">B7-C7</f>
        <v>-20097386.700000003</v>
      </c>
      <c r="E7" s="67">
        <f>E6+D7+15406442.87</f>
        <v>252083104.08999997</v>
      </c>
      <c r="F7" s="94"/>
    </row>
    <row r="8" spans="1:5" ht="12.75">
      <c r="A8" s="66">
        <v>2019</v>
      </c>
      <c r="B8" s="77">
        <v>99754350.52</v>
      </c>
      <c r="C8" s="77">
        <v>119952705.73</v>
      </c>
      <c r="D8" s="68">
        <f t="shared" si="0"/>
        <v>-20198355.21000001</v>
      </c>
      <c r="E8" s="67">
        <v>247009735.13</v>
      </c>
    </row>
    <row r="9" spans="1:5" ht="12.75">
      <c r="A9" s="66">
        <v>2020</v>
      </c>
      <c r="B9" s="77">
        <v>97558607.18</v>
      </c>
      <c r="C9" s="77">
        <v>121239030.25</v>
      </c>
      <c r="D9" s="68">
        <f t="shared" si="0"/>
        <v>-23680423.069999993</v>
      </c>
      <c r="E9" s="67">
        <v>238149896.17</v>
      </c>
    </row>
    <row r="10" spans="1:5" ht="12.75">
      <c r="A10" s="66">
        <v>2021</v>
      </c>
      <c r="B10" s="77">
        <v>95217200.61</v>
      </c>
      <c r="C10" s="77">
        <v>122652083.97</v>
      </c>
      <c r="D10" s="68">
        <f t="shared" si="0"/>
        <v>-27434883.36</v>
      </c>
      <c r="E10" s="67">
        <v>225004006.58</v>
      </c>
    </row>
    <row r="11" spans="1:5" ht="12.75">
      <c r="A11" s="66">
        <v>2022</v>
      </c>
      <c r="B11" s="77">
        <v>91612864.66</v>
      </c>
      <c r="C11" s="77">
        <v>124012274.62</v>
      </c>
      <c r="D11" s="68">
        <f t="shared" si="0"/>
        <v>-32399409.96000001</v>
      </c>
      <c r="E11" s="67">
        <v>206104837.02</v>
      </c>
    </row>
    <row r="12" spans="1:5" ht="12.75">
      <c r="A12" s="66">
        <v>2023</v>
      </c>
      <c r="B12" s="77">
        <v>87948350.08</v>
      </c>
      <c r="C12" s="77">
        <v>126356680.06</v>
      </c>
      <c r="D12" s="68">
        <f t="shared" si="0"/>
        <v>-38408329.980000004</v>
      </c>
      <c r="E12" s="67">
        <v>180062797.25</v>
      </c>
    </row>
    <row r="13" spans="1:5" ht="12.75">
      <c r="A13" s="66">
        <v>2024</v>
      </c>
      <c r="B13" s="77">
        <v>85018158.73</v>
      </c>
      <c r="C13" s="77">
        <v>127607717.25</v>
      </c>
      <c r="D13" s="68">
        <f t="shared" si="0"/>
        <v>-42589558.519999996</v>
      </c>
      <c r="E13" s="67">
        <v>148277006.57</v>
      </c>
    </row>
    <row r="14" spans="1:5" ht="12.75">
      <c r="A14" s="66">
        <v>2025</v>
      </c>
      <c r="B14" s="77">
        <v>82212559.49</v>
      </c>
      <c r="C14" s="77">
        <v>129095290.09</v>
      </c>
      <c r="D14" s="68">
        <f t="shared" si="0"/>
        <v>-46882730.60000001</v>
      </c>
      <c r="E14" s="67">
        <v>110290896.36</v>
      </c>
    </row>
    <row r="15" spans="1:5" ht="12.75">
      <c r="A15" s="66">
        <v>2026</v>
      </c>
      <c r="B15" s="77">
        <v>79533214.62</v>
      </c>
      <c r="C15" s="77">
        <v>132037883.77</v>
      </c>
      <c r="D15" s="68">
        <f t="shared" si="0"/>
        <v>-52504669.14999999</v>
      </c>
      <c r="E15" s="67">
        <v>64403681</v>
      </c>
    </row>
    <row r="16" spans="1:5" ht="12.75">
      <c r="A16" s="66">
        <v>2027</v>
      </c>
      <c r="B16" s="77">
        <v>76351886.04</v>
      </c>
      <c r="C16" s="77">
        <v>134343264.77</v>
      </c>
      <c r="D16" s="68">
        <f t="shared" si="0"/>
        <v>-57991378.730000004</v>
      </c>
      <c r="E16" s="67">
        <v>10276523.12</v>
      </c>
    </row>
    <row r="17" spans="1:5" ht="12.75">
      <c r="A17" s="66">
        <v>2028</v>
      </c>
      <c r="B17" s="77">
        <v>73639957.06</v>
      </c>
      <c r="C17" s="77">
        <v>137129802.42</v>
      </c>
      <c r="D17" s="68">
        <f t="shared" si="0"/>
        <v>-63489845.359999985</v>
      </c>
      <c r="E17" s="69">
        <v>-52596730.85</v>
      </c>
    </row>
    <row r="18" spans="1:5" ht="12.75">
      <c r="A18" s="66">
        <v>2029</v>
      </c>
      <c r="B18" s="77">
        <v>70908061.04</v>
      </c>
      <c r="C18" s="77">
        <v>139782055.92</v>
      </c>
      <c r="D18" s="68">
        <f t="shared" si="0"/>
        <v>-68873994.87999998</v>
      </c>
      <c r="E18" s="69">
        <v>-68873994.88</v>
      </c>
    </row>
    <row r="19" spans="1:5" ht="12.75">
      <c r="A19" s="66">
        <v>2030</v>
      </c>
      <c r="B19" s="77">
        <v>67627650.35</v>
      </c>
      <c r="C19" s="77">
        <v>141230057.8</v>
      </c>
      <c r="D19" s="68">
        <f t="shared" si="0"/>
        <v>-73602407.45000002</v>
      </c>
      <c r="E19" s="69">
        <v>-73602407.45</v>
      </c>
    </row>
    <row r="20" spans="1:5" ht="12.75">
      <c r="A20" s="66">
        <v>2031</v>
      </c>
      <c r="B20" s="77">
        <v>64185946.54</v>
      </c>
      <c r="C20" s="77">
        <v>143220267.06</v>
      </c>
      <c r="D20" s="68">
        <f t="shared" si="0"/>
        <v>-79034320.52000001</v>
      </c>
      <c r="E20" s="69">
        <v>-79034320.52</v>
      </c>
    </row>
    <row r="21" spans="1:5" ht="12.75">
      <c r="A21" s="66">
        <v>2032</v>
      </c>
      <c r="B21" s="77">
        <v>60443859.71</v>
      </c>
      <c r="C21" s="77">
        <v>144688492.78</v>
      </c>
      <c r="D21" s="68">
        <f t="shared" si="0"/>
        <v>-84244633.07</v>
      </c>
      <c r="E21" s="69">
        <v>-84244633.07</v>
      </c>
    </row>
    <row r="22" spans="1:5" ht="12.75">
      <c r="A22" s="66">
        <v>2033</v>
      </c>
      <c r="B22" s="77">
        <v>56554219.46</v>
      </c>
      <c r="C22" s="77">
        <v>146755752.65</v>
      </c>
      <c r="D22" s="68">
        <f t="shared" si="0"/>
        <v>-90201533.19</v>
      </c>
      <c r="E22" s="69">
        <v>-90201533.19</v>
      </c>
    </row>
    <row r="23" spans="1:5" ht="12.75">
      <c r="A23" s="66">
        <v>2034</v>
      </c>
      <c r="B23" s="77">
        <v>54351004.01</v>
      </c>
      <c r="C23" s="77">
        <v>147891942.38</v>
      </c>
      <c r="D23" s="68">
        <f t="shared" si="0"/>
        <v>-93540938.37</v>
      </c>
      <c r="E23" s="69">
        <v>-93540938.37</v>
      </c>
    </row>
    <row r="24" spans="1:5" ht="12.75">
      <c r="A24" s="66">
        <v>2035</v>
      </c>
      <c r="B24" s="77">
        <v>51924660.67</v>
      </c>
      <c r="C24" s="77">
        <v>148830956.04</v>
      </c>
      <c r="D24" s="68">
        <f t="shared" si="0"/>
        <v>-96906295.36999999</v>
      </c>
      <c r="E24" s="69">
        <v>-96906295.37</v>
      </c>
    </row>
    <row r="25" spans="1:5" ht="12.75">
      <c r="A25" s="66">
        <v>2036</v>
      </c>
      <c r="B25" s="77">
        <v>49608001.93</v>
      </c>
      <c r="C25" s="77">
        <v>150796687.08</v>
      </c>
      <c r="D25" s="68">
        <f t="shared" si="0"/>
        <v>-101188685.15</v>
      </c>
      <c r="E25" s="69">
        <v>-101188685.15</v>
      </c>
    </row>
    <row r="26" spans="1:5" ht="12.75">
      <c r="A26" s="66">
        <v>2037</v>
      </c>
      <c r="B26" s="77">
        <v>47477440.22</v>
      </c>
      <c r="C26" s="77">
        <v>151523548.67</v>
      </c>
      <c r="D26" s="68">
        <f>B26-C26</f>
        <v>-104046108.44999999</v>
      </c>
      <c r="E26" s="69">
        <v>-104046108.45</v>
      </c>
    </row>
    <row r="27" spans="1:5" ht="12.75">
      <c r="A27" s="66">
        <v>2038</v>
      </c>
      <c r="B27" s="77">
        <v>45651333.34</v>
      </c>
      <c r="C27" s="77">
        <v>153184690.88</v>
      </c>
      <c r="D27" s="68">
        <f t="shared" si="0"/>
        <v>-107533357.53999999</v>
      </c>
      <c r="E27" s="69">
        <v>-107533357.54</v>
      </c>
    </row>
    <row r="28" spans="1:5" ht="12.75">
      <c r="A28" s="66">
        <v>2039</v>
      </c>
      <c r="B28" s="77">
        <v>43752323.19</v>
      </c>
      <c r="C28" s="77">
        <v>154456626.61</v>
      </c>
      <c r="D28" s="68">
        <f t="shared" si="0"/>
        <v>-110704303.42000002</v>
      </c>
      <c r="E28" s="69">
        <v>-110704303.42</v>
      </c>
    </row>
    <row r="29" spans="1:5" ht="12.75">
      <c r="A29" s="66">
        <v>2040</v>
      </c>
      <c r="B29" s="77">
        <v>41987546.4</v>
      </c>
      <c r="C29" s="77">
        <v>155837390.02</v>
      </c>
      <c r="D29" s="68">
        <f t="shared" si="0"/>
        <v>-113849843.62</v>
      </c>
      <c r="E29" s="69">
        <v>-113849843.62</v>
      </c>
    </row>
    <row r="30" spans="1:5" ht="12.75">
      <c r="A30" s="66">
        <v>2041</v>
      </c>
      <c r="B30" s="77">
        <v>40266804.51</v>
      </c>
      <c r="C30" s="77">
        <v>157487979.87</v>
      </c>
      <c r="D30" s="68">
        <f t="shared" si="0"/>
        <v>-117221175.36000001</v>
      </c>
      <c r="E30" s="69">
        <v>-117221175.36</v>
      </c>
    </row>
    <row r="31" spans="1:5" ht="12.75">
      <c r="A31" s="66">
        <v>2042</v>
      </c>
      <c r="B31" s="77">
        <v>38592700.46</v>
      </c>
      <c r="C31" s="77">
        <v>158730189.8</v>
      </c>
      <c r="D31" s="68">
        <f t="shared" si="0"/>
        <v>-120137489.34</v>
      </c>
      <c r="E31" s="69">
        <v>-120137489.34</v>
      </c>
    </row>
    <row r="32" spans="1:5" ht="12.75">
      <c r="A32" s="66">
        <v>2043</v>
      </c>
      <c r="B32" s="77">
        <v>37038137.42</v>
      </c>
      <c r="C32" s="77">
        <v>159535794.73</v>
      </c>
      <c r="D32" s="68">
        <f t="shared" si="0"/>
        <v>-122497657.30999999</v>
      </c>
      <c r="E32" s="69">
        <v>-122497657.31</v>
      </c>
    </row>
    <row r="33" spans="1:5" ht="12.75">
      <c r="A33" s="66">
        <v>2044</v>
      </c>
      <c r="B33" s="77">
        <v>35507548.46</v>
      </c>
      <c r="C33" s="77">
        <v>160198607.66</v>
      </c>
      <c r="D33" s="68">
        <f t="shared" si="0"/>
        <v>-124691059.19999999</v>
      </c>
      <c r="E33" s="69">
        <v>-124691059.2</v>
      </c>
    </row>
    <row r="34" spans="1:5" ht="12.75">
      <c r="A34" s="66">
        <v>2045</v>
      </c>
      <c r="B34" s="77">
        <v>34033752.98</v>
      </c>
      <c r="C34" s="77">
        <v>160803483.36</v>
      </c>
      <c r="D34" s="68">
        <f t="shared" si="0"/>
        <v>-126769730.38000003</v>
      </c>
      <c r="E34" s="69">
        <v>-126769730.38</v>
      </c>
    </row>
    <row r="35" spans="1:5" ht="12.75">
      <c r="A35" s="66">
        <v>2046</v>
      </c>
      <c r="B35" s="77">
        <v>32525127.83</v>
      </c>
      <c r="C35" s="77">
        <v>161351699.34</v>
      </c>
      <c r="D35" s="68">
        <f t="shared" si="0"/>
        <v>-128826571.51</v>
      </c>
      <c r="E35" s="69">
        <v>-128826571.51</v>
      </c>
    </row>
    <row r="36" spans="1:5" ht="12.75">
      <c r="A36" s="66">
        <v>2047</v>
      </c>
      <c r="B36" s="77">
        <v>30898871.43</v>
      </c>
      <c r="C36" s="77">
        <v>162597349.46</v>
      </c>
      <c r="D36" s="68">
        <f>B36-C36</f>
        <v>-131698478.03</v>
      </c>
      <c r="E36" s="69">
        <v>-131698478.03</v>
      </c>
    </row>
    <row r="37" spans="1:5" ht="12.75">
      <c r="A37" s="66">
        <v>2048</v>
      </c>
      <c r="B37" s="77">
        <v>29333930.56</v>
      </c>
      <c r="C37" s="77">
        <v>163000971.77</v>
      </c>
      <c r="D37" s="68">
        <f t="shared" si="0"/>
        <v>-133667041.21000001</v>
      </c>
      <c r="E37" s="69">
        <v>-133667041.21</v>
      </c>
    </row>
    <row r="38" spans="1:5" ht="12.75">
      <c r="A38" s="66">
        <v>2049</v>
      </c>
      <c r="B38" s="77">
        <v>27760747.55</v>
      </c>
      <c r="C38" s="77">
        <v>163375306.12</v>
      </c>
      <c r="D38" s="68">
        <f t="shared" si="0"/>
        <v>-135614558.57</v>
      </c>
      <c r="E38" s="69">
        <v>-135614558.57</v>
      </c>
    </row>
    <row r="39" spans="1:5" ht="12.75">
      <c r="A39" s="66">
        <v>2050</v>
      </c>
      <c r="B39" s="77">
        <v>26315106.63</v>
      </c>
      <c r="C39" s="77">
        <v>163577272.04</v>
      </c>
      <c r="D39" s="68">
        <f t="shared" si="0"/>
        <v>-137262165.41</v>
      </c>
      <c r="E39" s="69">
        <v>-137262165.41</v>
      </c>
    </row>
    <row r="40" spans="1:5" ht="12.75">
      <c r="A40" s="66">
        <v>2051</v>
      </c>
      <c r="B40" s="77">
        <v>24981692.09</v>
      </c>
      <c r="C40" s="77">
        <v>163640213.49</v>
      </c>
      <c r="D40" s="68">
        <f t="shared" si="0"/>
        <v>-138658521.4</v>
      </c>
      <c r="E40" s="69">
        <v>-138658521.4</v>
      </c>
    </row>
    <row r="41" spans="1:5" ht="12.75">
      <c r="A41" s="66">
        <v>2052</v>
      </c>
      <c r="B41" s="77">
        <v>23598617.88</v>
      </c>
      <c r="C41" s="77">
        <v>163926677.46</v>
      </c>
      <c r="D41" s="68">
        <f t="shared" si="0"/>
        <v>-140328059.58</v>
      </c>
      <c r="E41" s="69">
        <v>-140328059.58</v>
      </c>
    </row>
    <row r="42" spans="1:5" ht="12.75">
      <c r="A42" s="66">
        <v>2053</v>
      </c>
      <c r="B42" s="77">
        <v>22244616.16</v>
      </c>
      <c r="C42" s="77">
        <v>164049453.23</v>
      </c>
      <c r="D42" s="68">
        <f t="shared" si="0"/>
        <v>-141804837.07</v>
      </c>
      <c r="E42" s="69">
        <v>-141804537.07</v>
      </c>
    </row>
    <row r="43" spans="1:5" ht="12.75">
      <c r="A43" s="66">
        <v>2054</v>
      </c>
      <c r="B43" s="77">
        <v>20971884.37</v>
      </c>
      <c r="C43" s="77">
        <v>164098562.55</v>
      </c>
      <c r="D43" s="68">
        <f t="shared" si="0"/>
        <v>-143126678.18</v>
      </c>
      <c r="E43" s="69">
        <v>-143126678.18</v>
      </c>
    </row>
    <row r="44" spans="1:5" ht="12.75">
      <c r="A44" s="66">
        <v>2055</v>
      </c>
      <c r="B44" s="77">
        <v>19705894.51</v>
      </c>
      <c r="C44" s="77">
        <v>164127563.21</v>
      </c>
      <c r="D44" s="68">
        <f t="shared" si="0"/>
        <v>-144421668.70000002</v>
      </c>
      <c r="E44" s="69">
        <v>-144421668.7</v>
      </c>
    </row>
    <row r="45" spans="1:5" ht="12.75">
      <c r="A45" s="66">
        <v>2056</v>
      </c>
      <c r="B45" s="77">
        <v>18499276.39</v>
      </c>
      <c r="C45" s="77">
        <v>163795055.45</v>
      </c>
      <c r="D45" s="68">
        <f t="shared" si="0"/>
        <v>-145295779.06</v>
      </c>
      <c r="E45" s="69">
        <v>-145295779.06</v>
      </c>
    </row>
    <row r="46" spans="1:5" ht="12.75">
      <c r="A46" s="66">
        <v>2057</v>
      </c>
      <c r="B46" s="77">
        <v>17302947.32</v>
      </c>
      <c r="C46" s="77">
        <v>162917907.53</v>
      </c>
      <c r="D46" s="68">
        <f t="shared" si="0"/>
        <v>-145614960.21</v>
      </c>
      <c r="E46" s="69">
        <v>-145614960.21</v>
      </c>
    </row>
    <row r="47" spans="1:5" ht="12.75">
      <c r="A47" s="66">
        <v>2058</v>
      </c>
      <c r="B47" s="77">
        <v>16135140.94</v>
      </c>
      <c r="C47" s="77">
        <v>161601362.56</v>
      </c>
      <c r="D47" s="68">
        <f t="shared" si="0"/>
        <v>-145466221.62</v>
      </c>
      <c r="E47" s="69">
        <v>-145466221.62</v>
      </c>
    </row>
    <row r="48" spans="1:5" ht="12.75">
      <c r="A48" s="66">
        <v>2059</v>
      </c>
      <c r="B48" s="77">
        <v>15023961.47</v>
      </c>
      <c r="C48" s="77">
        <v>159350308.31</v>
      </c>
      <c r="D48" s="68">
        <f t="shared" si="0"/>
        <v>-144326346.84</v>
      </c>
      <c r="E48" s="69">
        <v>-144326346.84</v>
      </c>
    </row>
    <row r="49" spans="1:5" ht="12.75">
      <c r="A49" s="66">
        <v>2060</v>
      </c>
      <c r="B49" s="77">
        <v>13942403.25</v>
      </c>
      <c r="C49" s="77">
        <v>156822599.2</v>
      </c>
      <c r="D49" s="68">
        <f>E49</f>
        <v>-142880195.94</v>
      </c>
      <c r="E49" s="69">
        <v>-142880195.94</v>
      </c>
    </row>
    <row r="50" spans="1:5" ht="12.75">
      <c r="A50" s="66">
        <v>2061</v>
      </c>
      <c r="B50" s="77">
        <v>12899907.53</v>
      </c>
      <c r="C50" s="77">
        <v>153808681.34</v>
      </c>
      <c r="D50" s="68">
        <f t="shared" si="0"/>
        <v>-140908773.81</v>
      </c>
      <c r="E50" s="69">
        <v>-140908773.81</v>
      </c>
    </row>
    <row r="51" spans="1:5" ht="12.75">
      <c r="A51" s="66">
        <v>2062</v>
      </c>
      <c r="B51" s="77">
        <v>11898813.68</v>
      </c>
      <c r="C51" s="77">
        <v>150922871.37</v>
      </c>
      <c r="D51" s="68">
        <f t="shared" si="0"/>
        <v>-139024057.69</v>
      </c>
      <c r="E51" s="69">
        <v>-139024057.69</v>
      </c>
    </row>
    <row r="52" spans="1:5" ht="12.75">
      <c r="A52" s="66">
        <v>2063</v>
      </c>
      <c r="B52" s="77">
        <v>10941456.35</v>
      </c>
      <c r="C52" s="77">
        <v>147158950.19</v>
      </c>
      <c r="D52" s="68">
        <f t="shared" si="0"/>
        <v>-136217493.84</v>
      </c>
      <c r="E52" s="69">
        <v>-136217493.84</v>
      </c>
    </row>
    <row r="53" spans="1:5" ht="12.75">
      <c r="A53" s="66">
        <v>2064</v>
      </c>
      <c r="B53" s="77">
        <v>10029930.89</v>
      </c>
      <c r="C53" s="77">
        <v>143002627.7</v>
      </c>
      <c r="D53" s="68">
        <f t="shared" si="0"/>
        <v>-132972696.80999999</v>
      </c>
      <c r="E53" s="69">
        <v>-132972696.81</v>
      </c>
    </row>
    <row r="54" spans="1:5" ht="12.75">
      <c r="A54" s="66">
        <v>2065</v>
      </c>
      <c r="B54" s="77">
        <v>9165954.98</v>
      </c>
      <c r="C54" s="77">
        <v>138642011.87</v>
      </c>
      <c r="D54" s="68">
        <f>E54</f>
        <v>-129476056.9</v>
      </c>
      <c r="E54" s="69">
        <v>-129476056.9</v>
      </c>
    </row>
    <row r="55" spans="1:5" ht="12.75">
      <c r="A55" s="66">
        <v>2066</v>
      </c>
      <c r="B55" s="77">
        <v>8350680.69</v>
      </c>
      <c r="C55" s="77">
        <v>133841702.35</v>
      </c>
      <c r="D55" s="68">
        <f t="shared" si="0"/>
        <v>-125491021.66</v>
      </c>
      <c r="E55" s="69">
        <v>-125491021.66</v>
      </c>
    </row>
    <row r="56" spans="1:5" ht="12.75">
      <c r="A56" s="66">
        <v>2067</v>
      </c>
      <c r="B56" s="77">
        <v>7584780.74</v>
      </c>
      <c r="C56" s="77">
        <v>128558262.82</v>
      </c>
      <c r="D56" s="68">
        <f t="shared" si="0"/>
        <v>-120973482.08</v>
      </c>
      <c r="E56" s="69">
        <v>-120973482.08</v>
      </c>
    </row>
    <row r="57" spans="1:5" ht="12.75">
      <c r="A57" s="66">
        <v>2068</v>
      </c>
      <c r="B57" s="77">
        <v>6828246.87</v>
      </c>
      <c r="C57" s="77">
        <v>123253861.67</v>
      </c>
      <c r="D57" s="68">
        <f>E57</f>
        <v>-116385614.8</v>
      </c>
      <c r="E57" s="69">
        <v>-116385614.8</v>
      </c>
    </row>
    <row r="58" spans="1:5" ht="12.75">
      <c r="A58" s="66">
        <v>2069</v>
      </c>
      <c r="B58" s="77">
        <v>6200541.46</v>
      </c>
      <c r="C58" s="77">
        <v>117860483.21</v>
      </c>
      <c r="D58" s="68">
        <f t="shared" si="0"/>
        <v>-111659941.75</v>
      </c>
      <c r="E58" s="69">
        <v>-111659941.75</v>
      </c>
    </row>
    <row r="59" spans="1:5" ht="12.75">
      <c r="A59" s="66">
        <v>2070</v>
      </c>
      <c r="B59" s="77">
        <v>5580475.57</v>
      </c>
      <c r="C59" s="77">
        <v>112276269.57</v>
      </c>
      <c r="D59" s="68">
        <f>E59</f>
        <v>-106695794.01</v>
      </c>
      <c r="E59" s="69">
        <v>-106695794.01</v>
      </c>
    </row>
    <row r="60" spans="1:5" ht="12.75">
      <c r="A60" s="66">
        <v>2071</v>
      </c>
      <c r="B60" s="77">
        <v>5006506.13</v>
      </c>
      <c r="C60" s="77">
        <v>106670123.58</v>
      </c>
      <c r="D60" s="68">
        <f t="shared" si="0"/>
        <v>-101663617.45</v>
      </c>
      <c r="E60" s="69">
        <v>-101663617.45</v>
      </c>
    </row>
    <row r="61" spans="1:5" ht="12.75">
      <c r="A61" s="66">
        <v>2072</v>
      </c>
      <c r="B61" s="77">
        <v>4476666.05</v>
      </c>
      <c r="C61" s="77">
        <v>100995849.34</v>
      </c>
      <c r="D61" s="68">
        <f t="shared" si="0"/>
        <v>-96519183.29</v>
      </c>
      <c r="E61" s="69">
        <v>-96519183.29</v>
      </c>
    </row>
    <row r="62" spans="1:5" ht="12.75">
      <c r="A62" s="66">
        <v>2073</v>
      </c>
      <c r="B62" s="77">
        <v>3988727.17</v>
      </c>
      <c r="C62" s="77">
        <v>95375593.27</v>
      </c>
      <c r="D62" s="68">
        <f t="shared" si="0"/>
        <v>-91386866.1</v>
      </c>
      <c r="E62" s="69">
        <v>-91386866.1</v>
      </c>
    </row>
    <row r="63" spans="1:5" ht="12.75">
      <c r="A63" s="66">
        <v>2074</v>
      </c>
      <c r="B63" s="77">
        <v>3540388.07</v>
      </c>
      <c r="C63" s="77">
        <v>89827825.46</v>
      </c>
      <c r="D63" s="68">
        <f t="shared" si="0"/>
        <v>-86287437.39</v>
      </c>
      <c r="E63" s="69">
        <v>-86287437.39</v>
      </c>
    </row>
    <row r="64" spans="1:5" ht="12.75">
      <c r="A64" s="66">
        <v>2075</v>
      </c>
      <c r="B64" s="77">
        <v>3129467.84</v>
      </c>
      <c r="C64" s="77">
        <v>84308951.47</v>
      </c>
      <c r="D64" s="68">
        <f>E64</f>
        <v>-81179483.64</v>
      </c>
      <c r="E64" s="69">
        <v>-81179483.64</v>
      </c>
    </row>
    <row r="65" spans="1:5" ht="12.75">
      <c r="A65" s="66">
        <v>2076</v>
      </c>
      <c r="B65" s="77">
        <v>2754787.77</v>
      </c>
      <c r="C65" s="77">
        <v>78889829.53</v>
      </c>
      <c r="D65" s="68">
        <f>B65-C65</f>
        <v>-76135041.76</v>
      </c>
      <c r="E65" s="69">
        <f>D65</f>
        <v>-76135041.76</v>
      </c>
    </row>
    <row r="66" spans="1:5" ht="12.75">
      <c r="A66" s="66">
        <v>2077</v>
      </c>
      <c r="B66" s="77">
        <v>2411234.99</v>
      </c>
      <c r="C66" s="77">
        <v>73590335.47</v>
      </c>
      <c r="D66" s="68">
        <f t="shared" si="0"/>
        <v>-71179100.48</v>
      </c>
      <c r="E66" s="69">
        <v>-71179100.48</v>
      </c>
    </row>
    <row r="67" spans="1:5" ht="12.75">
      <c r="A67" s="66">
        <v>2078</v>
      </c>
      <c r="B67" s="77">
        <v>2099766.88</v>
      </c>
      <c r="C67" s="77">
        <v>68430883.41</v>
      </c>
      <c r="D67" s="68">
        <f t="shared" si="0"/>
        <v>-66331116.529999994</v>
      </c>
      <c r="E67" s="69">
        <v>-66331116.53</v>
      </c>
    </row>
    <row r="68" spans="1:5" ht="12.75">
      <c r="A68" s="66">
        <v>2079</v>
      </c>
      <c r="B68" s="77">
        <v>1817437.82</v>
      </c>
      <c r="C68" s="77">
        <v>63431070.82</v>
      </c>
      <c r="D68" s="68">
        <f t="shared" si="0"/>
        <v>-61613633</v>
      </c>
      <c r="E68" s="69">
        <v>-61613633</v>
      </c>
    </row>
    <row r="69" spans="1:5" ht="12.75">
      <c r="A69" s="66">
        <v>2080</v>
      </c>
      <c r="B69" s="77">
        <v>1562383.38</v>
      </c>
      <c r="C69" s="77">
        <v>58609032.62</v>
      </c>
      <c r="D69" s="68">
        <f>E69</f>
        <v>-57046649.23</v>
      </c>
      <c r="E69" s="69">
        <v>-57046649.23</v>
      </c>
    </row>
    <row r="70" spans="1:5" ht="12.75">
      <c r="A70" s="66">
        <v>2081</v>
      </c>
      <c r="B70" s="77">
        <v>1332941.4</v>
      </c>
      <c r="C70" s="77">
        <v>53980377.63</v>
      </c>
      <c r="D70" s="68">
        <f t="shared" si="0"/>
        <v>-52647436.230000004</v>
      </c>
      <c r="E70" s="69">
        <v>-52647436.23</v>
      </c>
    </row>
    <row r="71" spans="1:5" ht="12.75">
      <c r="A71" s="66">
        <v>2082</v>
      </c>
      <c r="B71" s="77">
        <v>1127677.8</v>
      </c>
      <c r="C71" s="77">
        <v>49558617.85</v>
      </c>
      <c r="D71" s="68">
        <f>E71</f>
        <v>-48430940.04</v>
      </c>
      <c r="E71" s="69">
        <v>-48430940.04</v>
      </c>
    </row>
    <row r="72" spans="1:5" ht="12.75">
      <c r="A72" s="66">
        <v>2083</v>
      </c>
      <c r="B72" s="77">
        <v>945323.85</v>
      </c>
      <c r="C72" s="77">
        <v>45353549.22</v>
      </c>
      <c r="D72" s="68">
        <f>B72-C72</f>
        <v>-44408225.37</v>
      </c>
      <c r="E72" s="69">
        <v>-44408225.37</v>
      </c>
    </row>
    <row r="73" spans="1:5" ht="12.75">
      <c r="A73" s="66">
        <v>2084</v>
      </c>
      <c r="B73" s="77">
        <v>784667.96</v>
      </c>
      <c r="C73" s="77">
        <v>41371738.08</v>
      </c>
      <c r="D73" s="68">
        <f>B73-C73</f>
        <v>-40587070.12</v>
      </c>
      <c r="E73" s="69">
        <v>-40587070.12</v>
      </c>
    </row>
    <row r="74" spans="1:5" ht="12.75">
      <c r="A74" s="66">
        <v>2085</v>
      </c>
      <c r="B74" s="77">
        <v>644480.68</v>
      </c>
      <c r="C74" s="77">
        <v>37615953.54</v>
      </c>
      <c r="D74" s="68">
        <f>B74-C74</f>
        <v>-36971472.86</v>
      </c>
      <c r="E74" s="69">
        <v>-36971472.86</v>
      </c>
    </row>
    <row r="75" spans="1:5" ht="12.75">
      <c r="A75" s="66">
        <v>2086</v>
      </c>
      <c r="B75" s="77">
        <v>523490.56</v>
      </c>
      <c r="C75" s="77">
        <v>34086455.24</v>
      </c>
      <c r="D75" s="68">
        <f>E75</f>
        <v>-33562964.67</v>
      </c>
      <c r="E75" s="69">
        <v>-33562964.67</v>
      </c>
    </row>
    <row r="76" spans="1:5" ht="12.75">
      <c r="A76" s="66">
        <v>2087</v>
      </c>
      <c r="B76" s="77">
        <v>420362.64</v>
      </c>
      <c r="C76" s="77">
        <v>30780462.95</v>
      </c>
      <c r="D76" s="68">
        <f>B76-C76</f>
        <v>-30360100.31</v>
      </c>
      <c r="E76" s="69">
        <v>-30360100.31</v>
      </c>
    </row>
    <row r="77" spans="1:5" ht="12.75">
      <c r="A77" s="66">
        <v>2088</v>
      </c>
      <c r="B77" s="77">
        <v>333709.04</v>
      </c>
      <c r="C77" s="77">
        <v>27693183.16</v>
      </c>
      <c r="D77" s="68">
        <f>B77-C77</f>
        <v>-27359474.12</v>
      </c>
      <c r="E77" s="69">
        <v>-27359474.12</v>
      </c>
    </row>
    <row r="78" spans="1:5" ht="12.75">
      <c r="A78" s="66">
        <v>2089</v>
      </c>
      <c r="B78" s="77">
        <v>262054.37</v>
      </c>
      <c r="C78" s="77">
        <v>24818477.19</v>
      </c>
      <c r="D78" s="68">
        <f>B78-C78</f>
        <v>-24556422.82</v>
      </c>
      <c r="E78" s="69">
        <v>-24556422.82</v>
      </c>
    </row>
    <row r="79" spans="1:5" ht="12.75">
      <c r="A79" s="66">
        <v>2090</v>
      </c>
      <c r="B79" s="77">
        <v>203768.96</v>
      </c>
      <c r="C79" s="77">
        <v>22149843.36</v>
      </c>
      <c r="D79" s="68">
        <f>E79</f>
        <v>-21946074.39</v>
      </c>
      <c r="E79" s="69">
        <v>-21946074.39</v>
      </c>
    </row>
    <row r="80" spans="1:5" ht="12.75">
      <c r="A80" s="66">
        <v>2091</v>
      </c>
      <c r="B80" s="77">
        <v>157088.81</v>
      </c>
      <c r="C80" s="77">
        <v>19679750</v>
      </c>
      <c r="D80" s="68">
        <f>B80-C80</f>
        <v>-19522661.19</v>
      </c>
      <c r="E80" s="69">
        <v>-19522661.18</v>
      </c>
    </row>
    <row r="81" spans="1:5" ht="24.75" customHeight="1">
      <c r="A81" s="122" t="s">
        <v>181</v>
      </c>
      <c r="B81" s="122"/>
      <c r="C81" s="122"/>
      <c r="D81" s="122"/>
      <c r="E81" s="122"/>
    </row>
    <row r="82" spans="2:5" ht="12.75" customHeight="1">
      <c r="B82" s="71"/>
      <c r="C82" s="71"/>
      <c r="D82" s="4"/>
      <c r="E82" s="4"/>
    </row>
  </sheetData>
  <sheetProtection/>
  <mergeCells count="7">
    <mergeCell ref="A81:E81"/>
    <mergeCell ref="A2:A4"/>
    <mergeCell ref="B2:B3"/>
    <mergeCell ref="C2:C3"/>
    <mergeCell ref="D2:D3"/>
    <mergeCell ref="E2:E3"/>
    <mergeCell ref="E4:E5"/>
  </mergeCells>
  <printOptions horizontalCentered="1"/>
  <pageMargins left="0.3937007874015748" right="0.3937007874015748" top="1.7716535433070868" bottom="0.35433070866141736" header="0.5118110236220472" footer="0.15748031496062992"/>
  <pageSetup horizontalDpi="600" verticalDpi="600" orientation="portrait" paperSize="9" r:id="rId1"/>
  <headerFooter alignWithMargins="0">
    <oddHeader>&amp;CDEMONSTRATIVO VI     
Prefeitura Municipal de Santa Maria    
Lei de Diretrizes Orçamentárias    
Anexo de Metas Fiscais    
PROJEÇÃO ATUARIAL DO RPPS    
2019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9">
      <selection activeCell="F48" sqref="F48"/>
    </sheetView>
  </sheetViews>
  <sheetFormatPr defaultColWidth="11.57421875" defaultRowHeight="12.75"/>
  <cols>
    <col min="1" max="1" width="78.421875" style="1" customWidth="1"/>
    <col min="2" max="2" width="8.7109375" style="1" customWidth="1"/>
    <col min="3" max="3" width="11.421875" style="1" customWidth="1"/>
    <col min="4" max="4" width="12.421875" style="1" customWidth="1"/>
    <col min="5" max="5" width="12.140625" style="1" customWidth="1"/>
    <col min="6" max="6" width="18.00390625" style="1" customWidth="1"/>
    <col min="7" max="16384" width="11.57421875" style="1" customWidth="1"/>
  </cols>
  <sheetData>
    <row r="1" spans="1:6" ht="12" customHeight="1">
      <c r="A1" s="105" t="s">
        <v>71</v>
      </c>
      <c r="B1" s="105"/>
      <c r="C1" s="105"/>
      <c r="D1" s="105"/>
      <c r="E1" s="105"/>
      <c r="F1" s="105"/>
    </row>
    <row r="2" spans="1:6" ht="18" customHeight="1">
      <c r="A2" s="138" t="s">
        <v>72</v>
      </c>
      <c r="B2" s="141" t="s">
        <v>114</v>
      </c>
      <c r="C2" s="144" t="s">
        <v>73</v>
      </c>
      <c r="D2" s="145"/>
      <c r="E2" s="146"/>
      <c r="F2" s="138" t="s">
        <v>74</v>
      </c>
    </row>
    <row r="3" spans="1:6" ht="12.75">
      <c r="A3" s="138"/>
      <c r="B3" s="142"/>
      <c r="C3" s="139">
        <v>2019</v>
      </c>
      <c r="D3" s="135">
        <v>2020</v>
      </c>
      <c r="E3" s="134">
        <v>2021</v>
      </c>
      <c r="F3" s="138"/>
    </row>
    <row r="4" spans="1:6" ht="12.75">
      <c r="A4" s="138"/>
      <c r="B4" s="143"/>
      <c r="C4" s="140"/>
      <c r="D4" s="136"/>
      <c r="E4" s="134"/>
      <c r="F4" s="138"/>
    </row>
    <row r="5" spans="1:6" s="4" customFormat="1" ht="28.5" customHeight="1">
      <c r="A5" s="79" t="s">
        <v>118</v>
      </c>
      <c r="B5" s="81" t="s">
        <v>75</v>
      </c>
      <c r="C5" s="82">
        <v>204000</v>
      </c>
      <c r="D5" s="82">
        <v>210000</v>
      </c>
      <c r="E5" s="82">
        <v>216300</v>
      </c>
      <c r="F5" s="133" t="s">
        <v>116</v>
      </c>
    </row>
    <row r="6" spans="1:6" s="74" customFormat="1" ht="24" customHeight="1">
      <c r="A6" s="79" t="s">
        <v>172</v>
      </c>
      <c r="B6" s="81" t="s">
        <v>75</v>
      </c>
      <c r="C6" s="82">
        <v>822500</v>
      </c>
      <c r="D6" s="82">
        <v>847000</v>
      </c>
      <c r="E6" s="82">
        <v>872400</v>
      </c>
      <c r="F6" s="133"/>
    </row>
    <row r="7" spans="1:6" s="74" customFormat="1" ht="21" customHeight="1">
      <c r="A7" s="79" t="s">
        <v>173</v>
      </c>
      <c r="B7" s="81" t="s">
        <v>75</v>
      </c>
      <c r="C7" s="82">
        <v>799000</v>
      </c>
      <c r="D7" s="82">
        <v>823000</v>
      </c>
      <c r="E7" s="82">
        <v>847800</v>
      </c>
      <c r="F7" s="133"/>
    </row>
    <row r="8" spans="1:6" s="4" customFormat="1" ht="21" customHeight="1">
      <c r="A8" s="79" t="s">
        <v>174</v>
      </c>
      <c r="B8" s="81" t="s">
        <v>75</v>
      </c>
      <c r="C8" s="82">
        <v>3180000</v>
      </c>
      <c r="D8" s="82">
        <v>3275000</v>
      </c>
      <c r="E8" s="82">
        <v>3373200</v>
      </c>
      <c r="F8" s="133"/>
    </row>
    <row r="9" spans="1:6" s="4" customFormat="1" ht="24" customHeight="1">
      <c r="A9" s="79" t="s">
        <v>175</v>
      </c>
      <c r="B9" s="81" t="s">
        <v>75</v>
      </c>
      <c r="C9" s="82">
        <v>155500</v>
      </c>
      <c r="D9" s="82">
        <v>160200</v>
      </c>
      <c r="E9" s="82">
        <v>165000</v>
      </c>
      <c r="F9" s="133"/>
    </row>
    <row r="10" spans="1:6" s="4" customFormat="1" ht="28.5" customHeight="1">
      <c r="A10" s="79" t="s">
        <v>119</v>
      </c>
      <c r="B10" s="81" t="s">
        <v>75</v>
      </c>
      <c r="C10" s="82">
        <v>149000</v>
      </c>
      <c r="D10" s="82">
        <v>153500</v>
      </c>
      <c r="E10" s="82">
        <v>158000</v>
      </c>
      <c r="F10" s="133"/>
    </row>
    <row r="11" spans="1:6" s="4" customFormat="1" ht="26.25" customHeight="1">
      <c r="A11" s="79" t="s">
        <v>120</v>
      </c>
      <c r="B11" s="81" t="s">
        <v>76</v>
      </c>
      <c r="C11" s="82">
        <v>26000</v>
      </c>
      <c r="D11" s="82">
        <v>26800</v>
      </c>
      <c r="E11" s="82">
        <v>27600</v>
      </c>
      <c r="F11" s="133"/>
    </row>
    <row r="12" spans="1:6" s="4" customFormat="1" ht="18.75" customHeight="1">
      <c r="A12" s="129" t="s">
        <v>176</v>
      </c>
      <c r="B12" s="81" t="s">
        <v>76</v>
      </c>
      <c r="C12" s="82">
        <v>109000</v>
      </c>
      <c r="D12" s="82">
        <v>112300</v>
      </c>
      <c r="E12" s="82">
        <v>115700</v>
      </c>
      <c r="F12" s="133"/>
    </row>
    <row r="13" spans="1:6" s="4" customFormat="1" ht="22.5" customHeight="1">
      <c r="A13" s="137"/>
      <c r="B13" s="81" t="s">
        <v>108</v>
      </c>
      <c r="C13" s="82">
        <v>77500</v>
      </c>
      <c r="D13" s="82">
        <v>80000</v>
      </c>
      <c r="E13" s="82">
        <v>82400</v>
      </c>
      <c r="F13" s="133"/>
    </row>
    <row r="14" spans="1:6" s="4" customFormat="1" ht="31.5" customHeight="1">
      <c r="A14" s="79" t="s">
        <v>121</v>
      </c>
      <c r="B14" s="81" t="s">
        <v>75</v>
      </c>
      <c r="C14" s="82">
        <v>68000</v>
      </c>
      <c r="D14" s="82">
        <v>70000</v>
      </c>
      <c r="E14" s="82">
        <v>72100</v>
      </c>
      <c r="F14" s="133"/>
    </row>
    <row r="15" spans="1:6" s="4" customFormat="1" ht="16.5" customHeight="1">
      <c r="A15" s="129" t="s">
        <v>177</v>
      </c>
      <c r="B15" s="81" t="s">
        <v>75</v>
      </c>
      <c r="C15" s="82">
        <v>335000</v>
      </c>
      <c r="D15" s="82">
        <v>345000</v>
      </c>
      <c r="E15" s="82">
        <v>355300</v>
      </c>
      <c r="F15" s="133"/>
    </row>
    <row r="16" spans="1:6" s="4" customFormat="1" ht="16.5" customHeight="1">
      <c r="A16" s="129"/>
      <c r="B16" s="81" t="s">
        <v>76</v>
      </c>
      <c r="C16" s="82">
        <v>1200000</v>
      </c>
      <c r="D16" s="82">
        <v>1236000</v>
      </c>
      <c r="E16" s="82">
        <v>1273000</v>
      </c>
      <c r="F16" s="133"/>
    </row>
    <row r="17" spans="1:6" s="4" customFormat="1" ht="16.5" customHeight="1">
      <c r="A17" s="129"/>
      <c r="B17" s="81" t="s">
        <v>108</v>
      </c>
      <c r="C17" s="82">
        <v>95000</v>
      </c>
      <c r="D17" s="82">
        <v>98000</v>
      </c>
      <c r="E17" s="82">
        <v>101000</v>
      </c>
      <c r="F17" s="133"/>
    </row>
    <row r="18" spans="1:6" s="4" customFormat="1" ht="16.5" customHeight="1">
      <c r="A18" s="129" t="s">
        <v>122</v>
      </c>
      <c r="B18" s="81" t="s">
        <v>75</v>
      </c>
      <c r="C18" s="82">
        <f>135000+7600</f>
        <v>142600</v>
      </c>
      <c r="D18" s="82">
        <v>147000</v>
      </c>
      <c r="E18" s="82">
        <v>151400</v>
      </c>
      <c r="F18" s="133"/>
    </row>
    <row r="19" spans="1:6" s="4" customFormat="1" ht="16.5" customHeight="1">
      <c r="A19" s="129"/>
      <c r="B19" s="81" t="s">
        <v>76</v>
      </c>
      <c r="C19" s="82">
        <v>407500</v>
      </c>
      <c r="D19" s="82">
        <v>420000</v>
      </c>
      <c r="E19" s="82">
        <v>432600</v>
      </c>
      <c r="F19" s="133"/>
    </row>
    <row r="20" spans="1:6" s="74" customFormat="1" ht="16.5" customHeight="1">
      <c r="A20" s="129"/>
      <c r="B20" s="81" t="s">
        <v>108</v>
      </c>
      <c r="C20" s="82">
        <v>27000</v>
      </c>
      <c r="D20" s="82">
        <v>28000</v>
      </c>
      <c r="E20" s="82">
        <v>28800</v>
      </c>
      <c r="F20" s="133"/>
    </row>
    <row r="21" spans="1:6" s="4" customFormat="1" ht="22.5" customHeight="1">
      <c r="A21" s="79" t="s">
        <v>123</v>
      </c>
      <c r="B21" s="81" t="s">
        <v>76</v>
      </c>
      <c r="C21" s="82">
        <v>450500</v>
      </c>
      <c r="D21" s="82">
        <v>264000</v>
      </c>
      <c r="E21" s="82">
        <v>272000</v>
      </c>
      <c r="F21" s="133"/>
    </row>
    <row r="22" spans="1:6" s="4" customFormat="1" ht="16.5" customHeight="1">
      <c r="A22" s="129" t="s">
        <v>124</v>
      </c>
      <c r="B22" s="81" t="s">
        <v>75</v>
      </c>
      <c r="C22" s="82">
        <v>54000</v>
      </c>
      <c r="D22" s="82">
        <v>55700</v>
      </c>
      <c r="E22" s="82">
        <v>57300</v>
      </c>
      <c r="F22" s="133"/>
    </row>
    <row r="23" spans="1:6" s="4" customFormat="1" ht="16.5" customHeight="1">
      <c r="A23" s="129"/>
      <c r="B23" s="81" t="s">
        <v>117</v>
      </c>
      <c r="C23" s="82">
        <v>13500</v>
      </c>
      <c r="D23" s="82">
        <v>14000</v>
      </c>
      <c r="E23" s="82">
        <v>14400</v>
      </c>
      <c r="F23" s="133"/>
    </row>
    <row r="24" spans="1:6" s="4" customFormat="1" ht="16.5" customHeight="1">
      <c r="A24" s="129" t="s">
        <v>125</v>
      </c>
      <c r="B24" s="81" t="s">
        <v>75</v>
      </c>
      <c r="C24" s="82">
        <v>109500</v>
      </c>
      <c r="D24" s="82">
        <v>112800</v>
      </c>
      <c r="E24" s="82">
        <v>116000</v>
      </c>
      <c r="F24" s="133" t="s">
        <v>116</v>
      </c>
    </row>
    <row r="25" spans="1:6" s="4" customFormat="1" ht="16.5" customHeight="1">
      <c r="A25" s="129"/>
      <c r="B25" s="81" t="s">
        <v>76</v>
      </c>
      <c r="C25" s="82">
        <v>135000</v>
      </c>
      <c r="D25" s="82">
        <v>139000</v>
      </c>
      <c r="E25" s="82">
        <v>143000</v>
      </c>
      <c r="F25" s="133"/>
    </row>
    <row r="26" spans="1:6" s="4" customFormat="1" ht="16.5" customHeight="1">
      <c r="A26" s="129"/>
      <c r="B26" s="81" t="s">
        <v>108</v>
      </c>
      <c r="C26" s="82">
        <v>257000</v>
      </c>
      <c r="D26" s="82">
        <v>264700</v>
      </c>
      <c r="E26" s="82">
        <v>272400</v>
      </c>
      <c r="F26" s="133"/>
    </row>
    <row r="27" spans="1:6" s="4" customFormat="1" ht="16.5" customHeight="1">
      <c r="A27" s="129"/>
      <c r="B27" s="81" t="s">
        <v>117</v>
      </c>
      <c r="C27" s="82">
        <v>34100</v>
      </c>
      <c r="D27" s="82">
        <v>35200</v>
      </c>
      <c r="E27" s="82">
        <v>36200</v>
      </c>
      <c r="F27" s="133"/>
    </row>
    <row r="28" spans="1:6" s="4" customFormat="1" ht="16.5" customHeight="1">
      <c r="A28" s="129" t="s">
        <v>178</v>
      </c>
      <c r="B28" s="81" t="s">
        <v>75</v>
      </c>
      <c r="C28" s="82">
        <f>87500+2100</f>
        <v>89600</v>
      </c>
      <c r="D28" s="82">
        <v>92300</v>
      </c>
      <c r="E28" s="82">
        <v>95000</v>
      </c>
      <c r="F28" s="133"/>
    </row>
    <row r="29" spans="1:6" s="4" customFormat="1" ht="16.5" customHeight="1">
      <c r="A29" s="129"/>
      <c r="B29" s="81" t="s">
        <v>76</v>
      </c>
      <c r="C29" s="82">
        <f>380000+250000</f>
        <v>630000</v>
      </c>
      <c r="D29" s="82">
        <v>649000</v>
      </c>
      <c r="E29" s="82">
        <v>668400</v>
      </c>
      <c r="F29" s="133"/>
    </row>
    <row r="30" spans="1:6" s="4" customFormat="1" ht="16.5" customHeight="1">
      <c r="A30" s="129"/>
      <c r="B30" s="81" t="s">
        <v>108</v>
      </c>
      <c r="C30" s="82">
        <f>123400+5200</f>
        <v>128600</v>
      </c>
      <c r="D30" s="82">
        <v>132500</v>
      </c>
      <c r="E30" s="82">
        <v>136400</v>
      </c>
      <c r="F30" s="133"/>
    </row>
    <row r="31" spans="1:6" s="4" customFormat="1" ht="15.75" customHeight="1">
      <c r="A31" s="129"/>
      <c r="B31" s="81" t="s">
        <v>117</v>
      </c>
      <c r="C31" s="82">
        <v>33500</v>
      </c>
      <c r="D31" s="82">
        <v>34500</v>
      </c>
      <c r="E31" s="82">
        <v>35500</v>
      </c>
      <c r="F31" s="133"/>
    </row>
    <row r="32" spans="1:6" s="3" customFormat="1" ht="22.5" customHeight="1">
      <c r="A32" s="79" t="s">
        <v>126</v>
      </c>
      <c r="B32" s="81" t="s">
        <v>75</v>
      </c>
      <c r="C32" s="82">
        <v>5200</v>
      </c>
      <c r="D32" s="82">
        <v>5500</v>
      </c>
      <c r="E32" s="82">
        <v>5600</v>
      </c>
      <c r="F32" s="133"/>
    </row>
    <row r="33" spans="1:6" ht="19.5" customHeight="1">
      <c r="A33" s="129" t="s">
        <v>179</v>
      </c>
      <c r="B33" s="81" t="s">
        <v>75</v>
      </c>
      <c r="C33" s="82">
        <v>14100</v>
      </c>
      <c r="D33" s="82">
        <v>14500</v>
      </c>
      <c r="E33" s="82">
        <v>15000</v>
      </c>
      <c r="F33" s="133"/>
    </row>
    <row r="34" spans="1:6" ht="18" customHeight="1">
      <c r="A34" s="129"/>
      <c r="B34" s="81" t="s">
        <v>76</v>
      </c>
      <c r="C34" s="82">
        <v>230000</v>
      </c>
      <c r="D34" s="82">
        <v>236000</v>
      </c>
      <c r="E34" s="82">
        <v>243000</v>
      </c>
      <c r="F34" s="133"/>
    </row>
    <row r="35" spans="1:6" ht="12.75">
      <c r="A35" s="130" t="s">
        <v>180</v>
      </c>
      <c r="B35" s="81" t="s">
        <v>75</v>
      </c>
      <c r="C35" s="82">
        <v>43500</v>
      </c>
      <c r="D35" s="82">
        <v>44400</v>
      </c>
      <c r="E35" s="82">
        <v>45700</v>
      </c>
      <c r="F35" s="133"/>
    </row>
    <row r="36" spans="1:6" ht="12.75" customHeight="1">
      <c r="A36" s="131"/>
      <c r="B36" s="81" t="s">
        <v>76</v>
      </c>
      <c r="C36" s="82">
        <v>66000</v>
      </c>
      <c r="D36" s="82">
        <v>67000</v>
      </c>
      <c r="E36" s="82">
        <v>69000</v>
      </c>
      <c r="F36" s="133"/>
    </row>
    <row r="37" spans="1:6" ht="12.75">
      <c r="A37" s="132"/>
      <c r="B37" s="81" t="s">
        <v>117</v>
      </c>
      <c r="C37" s="82">
        <v>10900</v>
      </c>
      <c r="D37" s="82">
        <v>11200</v>
      </c>
      <c r="E37" s="82">
        <v>11500</v>
      </c>
      <c r="F37" s="133"/>
    </row>
    <row r="38" spans="1:6" ht="12.75">
      <c r="A38" s="129" t="s">
        <v>127</v>
      </c>
      <c r="B38" s="81" t="s">
        <v>75</v>
      </c>
      <c r="C38" s="82">
        <v>352000</v>
      </c>
      <c r="D38" s="82">
        <v>362500</v>
      </c>
      <c r="E38" s="82">
        <v>373000</v>
      </c>
      <c r="F38" s="133"/>
    </row>
    <row r="39" spans="1:6" ht="12.75" customHeight="1">
      <c r="A39" s="129"/>
      <c r="B39" s="81" t="s">
        <v>76</v>
      </c>
      <c r="C39" s="82">
        <v>2400</v>
      </c>
      <c r="D39" s="82">
        <v>2400</v>
      </c>
      <c r="E39" s="82">
        <v>2500</v>
      </c>
      <c r="F39" s="133"/>
    </row>
    <row r="40" spans="1:6" ht="12.75">
      <c r="A40" s="129"/>
      <c r="B40" s="81" t="s">
        <v>109</v>
      </c>
      <c r="C40" s="82">
        <v>176000</v>
      </c>
      <c r="D40" s="82">
        <v>181000</v>
      </c>
      <c r="E40" s="82">
        <v>186500</v>
      </c>
      <c r="F40" s="133"/>
    </row>
    <row r="41" spans="1:6" ht="22.5">
      <c r="A41" s="79" t="s">
        <v>128</v>
      </c>
      <c r="B41" s="81" t="s">
        <v>113</v>
      </c>
      <c r="C41" s="82">
        <v>1627000</v>
      </c>
      <c r="D41" s="82">
        <v>1675000</v>
      </c>
      <c r="E41" s="82">
        <v>1725000</v>
      </c>
      <c r="F41" s="133"/>
    </row>
    <row r="42" spans="1:6" ht="12.75">
      <c r="A42" s="128" t="s">
        <v>77</v>
      </c>
      <c r="B42" s="128"/>
      <c r="C42" s="8">
        <f>SUM(C5:C41)</f>
        <v>12260000</v>
      </c>
      <c r="D42" s="8">
        <f>SUM(D5:D41)</f>
        <v>12425000</v>
      </c>
      <c r="E42" s="8">
        <f>SUM(E5:E41)</f>
        <v>12796000</v>
      </c>
      <c r="F42" s="79"/>
    </row>
    <row r="43" spans="1:6" ht="12.75">
      <c r="A43" s="107" t="s">
        <v>182</v>
      </c>
      <c r="B43" s="107"/>
      <c r="C43" s="107"/>
      <c r="D43" s="80"/>
      <c r="E43" s="80"/>
      <c r="F43" s="80"/>
    </row>
  </sheetData>
  <sheetProtection/>
  <mergeCells count="21">
    <mergeCell ref="A1:F1"/>
    <mergeCell ref="A2:A4"/>
    <mergeCell ref="F2:F4"/>
    <mergeCell ref="C3:C4"/>
    <mergeCell ref="B2:B4"/>
    <mergeCell ref="C2:E2"/>
    <mergeCell ref="F5:F23"/>
    <mergeCell ref="E3:E4"/>
    <mergeCell ref="D3:D4"/>
    <mergeCell ref="A12:A13"/>
    <mergeCell ref="A33:A34"/>
    <mergeCell ref="F24:F41"/>
    <mergeCell ref="A42:B42"/>
    <mergeCell ref="A43:C43"/>
    <mergeCell ref="A15:A17"/>
    <mergeCell ref="A18:A20"/>
    <mergeCell ref="A22:A23"/>
    <mergeCell ref="A24:A27"/>
    <mergeCell ref="A28:A31"/>
    <mergeCell ref="A35:A37"/>
    <mergeCell ref="A38:A40"/>
  </mergeCells>
  <printOptions horizontalCentered="1"/>
  <pageMargins left="0.3937007874015748" right="0.3937007874015748" top="1.5748031496062993" bottom="0.2755905511811024" header="0.3937007874015748" footer="0.2362204724409449"/>
  <pageSetup horizontalDpi="600" verticalDpi="600" orientation="landscape" paperSize="9" r:id="rId1"/>
  <headerFooter alignWithMargins="0">
    <oddHeader>&amp;CDEMONSTRATIVO VII     
Prefeitura Municipal de Santa Maria     
Lei de Diretrizes Orçamentárias     
Anexo de Metas Fiscais     
 ESTIMATIVA E COMPENSAÇÃO DA RENÚNCIA DA RECEITA     
2019   
</oddHead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4" sqref="B4"/>
    </sheetView>
  </sheetViews>
  <sheetFormatPr defaultColWidth="11.57421875" defaultRowHeight="12.75"/>
  <cols>
    <col min="1" max="1" width="57.28125" style="1" customWidth="1"/>
    <col min="2" max="2" width="42.7109375" style="1" customWidth="1"/>
    <col min="3" max="16384" width="11.57421875" style="1" customWidth="1"/>
  </cols>
  <sheetData>
    <row r="1" ht="12.75">
      <c r="A1" s="2" t="s">
        <v>78</v>
      </c>
    </row>
    <row r="2" spans="1:2" ht="12.75">
      <c r="A2" s="147" t="s">
        <v>79</v>
      </c>
      <c r="B2" s="147">
        <v>2019</v>
      </c>
    </row>
    <row r="3" spans="1:2" ht="12.75">
      <c r="A3" s="147"/>
      <c r="B3" s="147"/>
    </row>
    <row r="4" spans="1:2" ht="18.75" customHeight="1">
      <c r="A4" s="42" t="s">
        <v>80</v>
      </c>
      <c r="B4" s="11">
        <v>15854150</v>
      </c>
    </row>
    <row r="5" spans="1:2" ht="18.75" customHeight="1">
      <c r="A5" s="43" t="s">
        <v>81</v>
      </c>
      <c r="B5" s="12">
        <v>0</v>
      </c>
    </row>
    <row r="6" spans="1:2" ht="18.75" customHeight="1">
      <c r="A6" s="44" t="s">
        <v>82</v>
      </c>
      <c r="B6" s="13">
        <v>0</v>
      </c>
    </row>
    <row r="7" spans="1:2" s="3" customFormat="1" ht="18.75" customHeight="1">
      <c r="A7" s="40" t="s">
        <v>83</v>
      </c>
      <c r="B7" s="8">
        <f>B4-B5-B6</f>
        <v>15854150</v>
      </c>
    </row>
    <row r="8" spans="1:2" ht="18.75" customHeight="1">
      <c r="A8" s="41" t="s">
        <v>84</v>
      </c>
      <c r="B8" s="26">
        <v>0</v>
      </c>
    </row>
    <row r="9" spans="1:2" ht="18.75" customHeight="1">
      <c r="A9" s="40" t="s">
        <v>85</v>
      </c>
      <c r="B9" s="26">
        <f>B7+B8</f>
        <v>15854150</v>
      </c>
    </row>
    <row r="10" spans="1:2" ht="18.75" customHeight="1">
      <c r="A10" s="42" t="s">
        <v>86</v>
      </c>
      <c r="B10" s="11">
        <f>B11</f>
        <v>6500000</v>
      </c>
    </row>
    <row r="11" spans="1:2" ht="18.75" customHeight="1">
      <c r="A11" s="43" t="s">
        <v>87</v>
      </c>
      <c r="B11" s="13">
        <v>6500000</v>
      </c>
    </row>
    <row r="12" spans="1:4" s="3" customFormat="1" ht="18.75" customHeight="1">
      <c r="A12" s="40" t="s">
        <v>88</v>
      </c>
      <c r="B12" s="8">
        <f>B9-B10</f>
        <v>9354150</v>
      </c>
      <c r="C12" s="83"/>
      <c r="D12" s="83"/>
    </row>
    <row r="13" spans="1:4" ht="12.75">
      <c r="A13" s="84" t="s">
        <v>89</v>
      </c>
      <c r="B13" s="84"/>
      <c r="C13" s="84"/>
      <c r="D13" s="84"/>
    </row>
  </sheetData>
  <sheetProtection/>
  <mergeCells count="2">
    <mergeCell ref="A2:A3"/>
    <mergeCell ref="B2:B3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&amp;CDEMONSTRATIVO VIII 
Prefeitura Municipal de Santa Maria 
Lei de Diretrizes Orçamentárias 
Anexo de Metas Fiscais 
MARGEM DE EXPANSÃO DAS DESPESAS OBRIGATÓRIAS DE CARÁTER CONTINUADO 
2019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Nizeti</cp:lastModifiedBy>
  <cp:lastPrinted>2018-05-14T13:06:05Z</cp:lastPrinted>
  <dcterms:created xsi:type="dcterms:W3CDTF">2005-08-09T17:46:19Z</dcterms:created>
  <dcterms:modified xsi:type="dcterms:W3CDTF">2018-05-14T14:05:17Z</dcterms:modified>
  <cp:category/>
  <cp:version/>
  <cp:contentType/>
  <cp:contentStatus/>
  <cp:revision>2</cp:revision>
</cp:coreProperties>
</file>