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05" windowWidth="15480" windowHeight="7530" tabRatio="764" activeTab="2"/>
  </bookViews>
  <sheets>
    <sheet name="METAS ANUAIS PARA A RECEITA" sheetId="1" r:id="rId1"/>
    <sheet name="EVOLUÇÃO DA RECEITA" sheetId="2" r:id="rId2"/>
    <sheet name="VARIAÇÃO DA RECEITA" sheetId="3" r:id="rId3"/>
    <sheet name="RECEITA CORRENTE LÍQUIDA" sheetId="4" r:id="rId4"/>
    <sheet name="METAS ANUAIS DE DESPESA" sheetId="5" r:id="rId5"/>
    <sheet name="VARIAÇÃO DA DESPESA" sheetId="6" r:id="rId6"/>
    <sheet name="META DO RESULTADO PRIMÁRIO" sheetId="7" r:id="rId7"/>
    <sheet name="META DO RESULTADO NOMINAL" sheetId="8" r:id="rId8"/>
    <sheet name="MONTANTE DA DÍVIDA PÚBLICA" sheetId="9" r:id="rId9"/>
  </sheets>
  <definedNames>
    <definedName name="Excel_BuiltIn_Print_Titles_7_1">'META DO RESULTADO PRIMÁRIO'!$A$1:$IU$10</definedName>
    <definedName name="Excel_BuiltIn_Print_Titles_7_1_1">'META DO RESULTADO PRIMÁRIO'!$A$10:$IU$10</definedName>
    <definedName name="_xlnm.Print_Titles" localSheetId="6">'META DO RESULTADO PRIMÁRIO'!$1:$1</definedName>
  </definedNames>
  <calcPr fullCalcOnLoad="1"/>
</workbook>
</file>

<file path=xl/sharedStrings.xml><?xml version="1.0" encoding="utf-8"?>
<sst xmlns="http://schemas.openxmlformats.org/spreadsheetml/2006/main" count="335" uniqueCount="199">
  <si>
    <t>PREVISÃO</t>
  </si>
  <si>
    <t>RECEITAS CORRENTES (I)</t>
  </si>
  <si>
    <t xml:space="preserve">       IPTU        </t>
  </si>
  <si>
    <t xml:space="preserve">       ISS</t>
  </si>
  <si>
    <t xml:space="preserve">       ITBI</t>
  </si>
  <si>
    <t xml:space="preserve">       Outras Receitas Tributárias</t>
  </si>
  <si>
    <t xml:space="preserve">  Receita Patrimonial</t>
  </si>
  <si>
    <t xml:space="preserve">  Receita Agropecuária</t>
  </si>
  <si>
    <t xml:space="preserve">  Receita de Serviços</t>
  </si>
  <si>
    <t xml:space="preserve">  Transferências Correntes</t>
  </si>
  <si>
    <t xml:space="preserve">       Cota-Parte do FPM</t>
  </si>
  <si>
    <t xml:space="preserve">       Cota-Parte do ICMS</t>
  </si>
  <si>
    <t xml:space="preserve">       Cota-Parte IPVA</t>
  </si>
  <si>
    <t xml:space="preserve">       Transferências do FUNDEB</t>
  </si>
  <si>
    <t xml:space="preserve">       Outras Transferência Corrente</t>
  </si>
  <si>
    <t xml:space="preserve">  Outras Receitas Correntes</t>
  </si>
  <si>
    <t>RECEITAS DE CAPITAL (II)</t>
  </si>
  <si>
    <t xml:space="preserve">  Operações de Crédito</t>
  </si>
  <si>
    <t xml:space="preserve">  Amortizações de Empréstimos</t>
  </si>
  <si>
    <t xml:space="preserve">  Alienações de Bens</t>
  </si>
  <si>
    <t>PRONTO</t>
  </si>
  <si>
    <t>NOTA:</t>
  </si>
  <si>
    <t>A projeção da receita observou a metodologia constante na Memória de Cálculo Descritiva.</t>
  </si>
  <si>
    <t>FONTES DE RECEITA</t>
  </si>
  <si>
    <t>EVOLUÇÃO DA RECEITA</t>
  </si>
  <si>
    <t>PROJEÇÃO DA RECEITA</t>
  </si>
  <si>
    <t>RECEITAS CORRENTES</t>
  </si>
  <si>
    <t>RECEITA PATRIMONIAL</t>
  </si>
  <si>
    <t>RECEITA AGROPECUÁRIA</t>
  </si>
  <si>
    <t>RECEITA DE SERVIÇOS</t>
  </si>
  <si>
    <t>TRANSFERÊNCIAS CORRENTES</t>
  </si>
  <si>
    <t>OUTRAS RECEITAS CORRENTES</t>
  </si>
  <si>
    <t>RECEITA DE CAPITAL</t>
  </si>
  <si>
    <t>OPERAÇÕES DE CRÉDITO</t>
  </si>
  <si>
    <t>ALIENAÇÃO DE BENS</t>
  </si>
  <si>
    <t>AMORT EMPRÉST CONCEDIDOS</t>
  </si>
  <si>
    <t>TRANSFERÊNCIAS DE CAPITAL</t>
  </si>
  <si>
    <t>OUTRAS RECEITAS DE CAPITAL</t>
  </si>
  <si>
    <t>TOTAL</t>
  </si>
  <si>
    <t>NOTAS:</t>
  </si>
  <si>
    <t>1. A Evolução da Receita foi elaborada com base na receita arrecadada nos períodos.</t>
  </si>
  <si>
    <t>2. A projeção da receita observou a metodologia constante na Memória de Cálculo Descritiva.</t>
  </si>
  <si>
    <t>METAS ANUAIS</t>
  </si>
  <si>
    <t>VALOR NOMINAL</t>
  </si>
  <si>
    <t>VARIAÇÃO</t>
  </si>
  <si>
    <t>-</t>
  </si>
  <si>
    <t>Receita Patrimonial</t>
  </si>
  <si>
    <t>Transferências Correntes</t>
  </si>
  <si>
    <t>Outras Receitas Correntes</t>
  </si>
  <si>
    <t>Operações de Crédito</t>
  </si>
  <si>
    <t>Amortização de Empréstimos</t>
  </si>
  <si>
    <t>Alienação de Bens</t>
  </si>
  <si>
    <t>ESPECIFICAÇÃO</t>
  </si>
  <si>
    <t xml:space="preserve">       IPTU</t>
  </si>
  <si>
    <t xml:space="preserve">  Receita  de Contribuições</t>
  </si>
  <si>
    <t xml:space="preserve">  Receita Serviços</t>
  </si>
  <si>
    <t xml:space="preserve">       Cota-Parte do IPVA</t>
  </si>
  <si>
    <t xml:space="preserve">       Outras Transferências Correntes</t>
  </si>
  <si>
    <t>DEDUÇÕES (II)</t>
  </si>
  <si>
    <t xml:space="preserve">  Contribuições de  Empregadores e Trabalhadores  para Seguridade. Social</t>
  </si>
  <si>
    <t xml:space="preserve">       - Servidor</t>
  </si>
  <si>
    <t xml:space="preserve">  Outras Receitas Diretamente Arrecadadas pelo RPPS</t>
  </si>
  <si>
    <t xml:space="preserve">  Compensação Financeira  entre Regimes Previdência</t>
  </si>
  <si>
    <t xml:space="preserve">  Dedução de Receita para Formação do FUNDEB</t>
  </si>
  <si>
    <t>RECEITA CORRENTE LÍQUIDA (I-II)</t>
  </si>
  <si>
    <t>IRRF deduzido das Receitas Tributárias conforme Parecer Coletivo de Auditoria nº 02/2002-TCE/RS</t>
  </si>
  <si>
    <t>CATEGORIA ECONÔMICA E GRUPO DE NATUREZA DE DESPESA</t>
  </si>
  <si>
    <t xml:space="preserve">       Pessoal e Encargos Sociais</t>
  </si>
  <si>
    <t xml:space="preserve">       Juros e Encargos da Dívida</t>
  </si>
  <si>
    <t xml:space="preserve">       Outras Despesas Correntes</t>
  </si>
  <si>
    <t xml:space="preserve">  DESPESAS DE CAPITAL (II)</t>
  </si>
  <si>
    <t xml:space="preserve">       Investimentos</t>
  </si>
  <si>
    <t xml:space="preserve">       Inversões Financeiras</t>
  </si>
  <si>
    <t xml:space="preserve">       Amortização da Dívida</t>
  </si>
  <si>
    <t xml:space="preserve">  RESERVA DE CONTINGÊNCIA(III)</t>
  </si>
  <si>
    <t>TOTAL DA DESPESA (I+II+III)</t>
  </si>
  <si>
    <t xml:space="preserve"> A projeção da despesa observou a metodologia constante na Demonstrativo da Variação da Despesa.</t>
  </si>
  <si>
    <t>Pessoal e Encargos Sociais</t>
  </si>
  <si>
    <t>Juros e Encargos da Dívida</t>
  </si>
  <si>
    <t>Outras Despesas Correntes</t>
  </si>
  <si>
    <t>Investimentos</t>
  </si>
  <si>
    <t>Inversões Financeiras</t>
  </si>
  <si>
    <t>Amortização da Dívida</t>
  </si>
  <si>
    <t>Reserva de Contingência</t>
  </si>
  <si>
    <t>RECEITAS CORRENTES ( I )</t>
  </si>
  <si>
    <t xml:space="preserve">  Receita de Contribuição </t>
  </si>
  <si>
    <t xml:space="preserve">       Outras Contribuições</t>
  </si>
  <si>
    <t xml:space="preserve">  Receita Patrimonial Líquida</t>
  </si>
  <si>
    <t xml:space="preserve">       Receita Patrimonial</t>
  </si>
  <si>
    <t xml:space="preserve">       (-) Aplicações Financeiras</t>
  </si>
  <si>
    <t xml:space="preserve">  Demais Receitas Correntes</t>
  </si>
  <si>
    <t xml:space="preserve">      Dívida Ativa</t>
  </si>
  <si>
    <t xml:space="preserve">      Diversas Receita Correntes</t>
  </si>
  <si>
    <t>RECEITAS DE CAPITAL ( II )</t>
  </si>
  <si>
    <t>Operações de Crédito ( III )</t>
  </si>
  <si>
    <t>Amortização de Empréstimos ( IV)</t>
  </si>
  <si>
    <t>Alienação de Bens ( V )</t>
  </si>
  <si>
    <t>Transferência de Capital</t>
  </si>
  <si>
    <t xml:space="preserve">       Convênios</t>
  </si>
  <si>
    <t xml:space="preserve">       Outras Transferência de Capital</t>
  </si>
  <si>
    <t>Outras Receitas de Capital</t>
  </si>
  <si>
    <t>DESPESAS CORRENTES ( VIII )</t>
  </si>
  <si>
    <t xml:space="preserve">  Pessoal e Encargos Sociais</t>
  </si>
  <si>
    <t xml:space="preserve">  Juros e Encargos da Dívida ( IX )</t>
  </si>
  <si>
    <t xml:space="preserve">  Outras Despesas Correntes</t>
  </si>
  <si>
    <t>DESPESAS FISCAIS CORRENTES ( X ) = ( VIII – IX )</t>
  </si>
  <si>
    <t>DESPESAS DE CAPITAL ( XI )</t>
  </si>
  <si>
    <t xml:space="preserve">  Investimentos</t>
  </si>
  <si>
    <t xml:space="preserve">  Inversões Financeiras</t>
  </si>
  <si>
    <t xml:space="preserve">       Concessão de Empréstimos (XII)</t>
  </si>
  <si>
    <t xml:space="preserve">       Aquisição de Título de Capital  Integralizado (XIII)</t>
  </si>
  <si>
    <t xml:space="preserve">       Demais Inversões Financeiras</t>
  </si>
  <si>
    <t>Amortização da Dívida ( XIV )</t>
  </si>
  <si>
    <t>DESP. FISCAIS DE CAPITAL ( XV ) = ( XI – XII-XII-XIV )</t>
  </si>
  <si>
    <t>RESERVA DE CONTINGÊNCIA ( XVI )</t>
  </si>
  <si>
    <t>(b)</t>
  </si>
  <si>
    <r>
      <t>(c)</t>
    </r>
    <r>
      <rPr>
        <b/>
        <sz val="2"/>
        <rFont val="Arial"/>
        <family val="2"/>
      </rPr>
      <t>.</t>
    </r>
  </si>
  <si>
    <t>(d)</t>
  </si>
  <si>
    <t>(e)</t>
  </si>
  <si>
    <t>(f)</t>
  </si>
  <si>
    <t>(g)</t>
  </si>
  <si>
    <t>(h)</t>
  </si>
  <si>
    <t>DÍVIDA CONSOLIDADA (I)</t>
  </si>
  <si>
    <t>Ativo Disponível</t>
  </si>
  <si>
    <t>Haveres Financeiros</t>
  </si>
  <si>
    <t>( - ) Restos a Pagar Processados</t>
  </si>
  <si>
    <t xml:space="preserve">OBRIGAÇÕES NÃO-INTEGRANTES DA DC </t>
  </si>
  <si>
    <t>DÍVIDA CONSOLIDADA LÍQUIDA</t>
  </si>
  <si>
    <t>RECEITA DE PRIVATIZAÇÕES</t>
  </si>
  <si>
    <t>PASSIVOS RECONHECIDOS</t>
  </si>
  <si>
    <t>DÍVIDA FISCAL LÍQUIDA</t>
  </si>
  <si>
    <t>RESULTADO NOMINAL</t>
  </si>
  <si>
    <t>(b-a*)</t>
  </si>
  <si>
    <t>(c-b)</t>
  </si>
  <si>
    <t>(d-c)</t>
  </si>
  <si>
    <t>(e-d)</t>
  </si>
  <si>
    <t>(f-e)</t>
  </si>
  <si>
    <t>(g-f)</t>
  </si>
  <si>
    <t>(f-h)</t>
  </si>
  <si>
    <t>DÍVIDA CONSOLIDADA ( I )</t>
  </si>
  <si>
    <t>Dívida Mobiliária</t>
  </si>
  <si>
    <t>Outras Dívidas</t>
  </si>
  <si>
    <t>DEDUÇÕES ( II )</t>
  </si>
  <si>
    <t>( - ) Restos à Pagar Processados</t>
  </si>
  <si>
    <t>Insuficiência Financeira</t>
  </si>
  <si>
    <t>DCL (III ) = ( I – II )</t>
  </si>
  <si>
    <t>RECEITAS INTRA-ORÇAMENTÁRIAS</t>
  </si>
  <si>
    <t xml:space="preserve">  Remuneração dos investimentos do RPPS</t>
  </si>
  <si>
    <t>RECEITAS CORRENTES INTRAORÇAMENTÁRIAS (III)</t>
  </si>
  <si>
    <t>( - ) DEDUÇÃO PARA FORMAÇÃO DO FUNDEB (IV)</t>
  </si>
  <si>
    <t xml:space="preserve">  Transferências de Capital</t>
  </si>
  <si>
    <t xml:space="preserve">       Cota-Parte do ITR</t>
  </si>
  <si>
    <t xml:space="preserve">       Transferências da LC 87/1996</t>
  </si>
  <si>
    <t>FONTE: Superintendência de Gestão Orçamentária e Financeira - PMSM</t>
  </si>
  <si>
    <t xml:space="preserve">  DESPESAS CORRENTES (I)</t>
  </si>
  <si>
    <t>( - ) DEDUÇÃO DA RECEITA POR RENÚNCIA (V)</t>
  </si>
  <si>
    <t>RECEITA LÍQUIDA TOTAL (I+II+III-IV-V)</t>
  </si>
  <si>
    <t>DEDUÇÃO FUNDEB</t>
  </si>
  <si>
    <t xml:space="preserve">  Dedução da Receita por Renúncia</t>
  </si>
  <si>
    <t xml:space="preserve">  IRRF</t>
  </si>
  <si>
    <t xml:space="preserve">  Remuneração do Fundo de Assistência à Saúde</t>
  </si>
  <si>
    <t>DEDUÇÃO RENÚNCIA DE RECEITA E OUTRAS</t>
  </si>
  <si>
    <t>INSCRITAS EM RESTOS A PAGAR NÃO PROCESSADOS (XVII)</t>
  </si>
  <si>
    <t>DESPESAS PRIMÁRIAS ( XVIII ) = ( X + XV + XVI+XVII)</t>
  </si>
  <si>
    <t>RESULTADO PRIMÁRIO ( VII – XVIII )</t>
  </si>
  <si>
    <t>RECEITAS PRIMÁRIAS (VII)=(I+VI)</t>
  </si>
  <si>
    <t>1. Os valores nominais  de 2015, 2016 e 2017 são da despesa liquidada nos períodos.</t>
  </si>
  <si>
    <t>3. Para o cálculo do valor nominal dos anos de 2019 a 2021 foi aplicado o percentual de 3% sobre o montante do ano anterior.</t>
  </si>
  <si>
    <t>1. O valor nominal de 2015 foi extraído do valor constante no orçamento sendo R$ 10.000.000,00  do Município, R$ 50.000,00 da Câmara e R$ 28.673.000 do IPASSP-SM.</t>
  </si>
  <si>
    <t>2. O valor nominal de 2016 foi extraído do valor constante no orçamento sendo R$ 11.100.000,00  do Município, R$ 50.000,00 da Câmara e R$ 18.897.700,00 do IPASSP-SM.</t>
  </si>
  <si>
    <t>3. O valor nominal de 2017 foi extraído do valor constante no orçamento sendo R$ 11.800.000,00  do Município, R$ 50.000,00 da Câmara e R$ 12.826.000,00 do IPASSP-SM.</t>
  </si>
  <si>
    <t>4. O valor previsto na LOA 2018 para o Município foi de R$ 12.500.000,00; para a Câmara R$ 50.000,00 e R$ 3.321.000,00 para o IPASSP-SM.</t>
  </si>
  <si>
    <t>IMPOSTOS, TAXAS E CONTRIBUIÇÕES DE MELHORIA</t>
  </si>
  <si>
    <t xml:space="preserve">  Impostos, Taxas e Contribuições de Melhoria</t>
  </si>
  <si>
    <t xml:space="preserve">  Contribuições</t>
  </si>
  <si>
    <t>CONTRIBUIÇÕES</t>
  </si>
  <si>
    <t>Impostos, Taxas e Contribuições de Melhoria</t>
  </si>
  <si>
    <t>Contribuições</t>
  </si>
  <si>
    <t>Obs.: A diferença de valor a partir do exercício de 2018, se deve  a mudança de critérios na Classificação da Receita.</t>
  </si>
  <si>
    <t xml:space="preserve">       (-)  Receita Previdenciária</t>
  </si>
  <si>
    <t xml:space="preserve">      (-) Outras Receitas Financeiras</t>
  </si>
  <si>
    <t xml:space="preserve">  (-) Obrigações Patronais Intra</t>
  </si>
  <si>
    <t>RECEITAS FISCAIS DE CAPITAL ( VI )=( II - III - IV )</t>
  </si>
  <si>
    <t xml:space="preserve">  (-) Outras Aplicações Diretas (3.3.91)</t>
  </si>
  <si>
    <t>5. O valor em  2019 para o Município é R$ 12.700.000,00, para a Câmara R$ 50.000,00 e R$ 3.600.000,00  para o IPASSP-SM.</t>
  </si>
  <si>
    <t>JUROS NOMINAIS</t>
  </si>
  <si>
    <t>JUROS E ENCARGOS ATIVOS</t>
  </si>
  <si>
    <t>JUROS E ENCARGOS PASSIVOS</t>
  </si>
  <si>
    <t>RESULTADO NOMINAL ACIMA DA LINHA</t>
  </si>
  <si>
    <t>RESULTADO NOMINAL ABAIXO DA LINHA</t>
  </si>
  <si>
    <t xml:space="preserve">AJUSTE METODOLÓGICO </t>
  </si>
  <si>
    <t>VARIAÇÃO DO SALDO DO RPP</t>
  </si>
  <si>
    <t>RESULTADO NOMINAL AJUSTADO ABAIXO DA LINHA</t>
  </si>
  <si>
    <t>RESULTADO PRIMÁRIO ABAIXO DA LINHA</t>
  </si>
  <si>
    <t>2. O valor nominal de 2018 é o previsto na LOA 2018.</t>
  </si>
  <si>
    <t>2. Os valores nominais de 2018 a 2021 foram apurados conforme a situação atual do Município.</t>
  </si>
  <si>
    <t>6. Os valores previstos para 2020 e 2021 foram acrescidos de 3%.</t>
  </si>
  <si>
    <t>3. Os valores nominais de 2019 a 2021 foram apurados conforme a situação atual do Município.</t>
  </si>
  <si>
    <t>RESULTADO PRIMÁRIO - ACIMA DA LINHA ( VII – XVII )</t>
  </si>
</sst>
</file>

<file path=xl/styles.xml><?xml version="1.0" encoding="utf-8"?>
<styleSheet xmlns="http://schemas.openxmlformats.org/spreadsheetml/2006/main">
  <numFmts count="19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#,##0.00;[Red]#,##0.00"/>
    <numFmt numFmtId="173" formatCode="_(* #,##0.00_);_(* \(#,##0.00\);_(* \-??_);_(@_)"/>
    <numFmt numFmtId="174" formatCode="0.0000%"/>
  </numFmts>
  <fonts count="45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2" fontId="0" fillId="0" borderId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172" fontId="2" fillId="0" borderId="10" xfId="60" applyFont="1" applyFill="1" applyBorder="1" applyAlignment="1" applyProtection="1">
      <alignment horizontal="right"/>
      <protection/>
    </xf>
    <xf numFmtId="173" fontId="2" fillId="0" borderId="10" xfId="6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172" fontId="3" fillId="0" borderId="10" xfId="60" applyFont="1" applyFill="1" applyBorder="1" applyAlignment="1" applyProtection="1">
      <alignment horizontal="right"/>
      <protection/>
    </xf>
    <xf numFmtId="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72" fontId="2" fillId="0" borderId="10" xfId="60" applyFont="1" applyFill="1" applyBorder="1" applyAlignment="1" applyProtection="1">
      <alignment horizontal="right"/>
      <protection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172" fontId="3" fillId="0" borderId="10" xfId="60" applyFont="1" applyFill="1" applyBorder="1" applyAlignment="1" applyProtection="1">
      <alignment horizontal="right"/>
      <protection/>
    </xf>
    <xf numFmtId="173" fontId="3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" fontId="2" fillId="35" borderId="10" xfId="0" applyNumberFormat="1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 wrapText="1"/>
    </xf>
    <xf numFmtId="4" fontId="0" fillId="0" borderId="0" xfId="0" applyNumberFormat="1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7" fillId="36" borderId="19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4" fillId="34" borderId="10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justify"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F28" sqref="F28"/>
    </sheetView>
  </sheetViews>
  <sheetFormatPr defaultColWidth="11.140625" defaultRowHeight="12.75"/>
  <cols>
    <col min="1" max="2" width="11.140625" style="1" customWidth="1"/>
    <col min="3" max="3" width="18.57421875" style="1" customWidth="1"/>
    <col min="4" max="4" width="13.7109375" style="1" customWidth="1"/>
    <col min="5" max="5" width="14.00390625" style="1" customWidth="1"/>
    <col min="6" max="6" width="15.00390625" style="1" customWidth="1"/>
    <col min="7" max="7" width="0" style="1" hidden="1" customWidth="1"/>
    <col min="8" max="8" width="15.8515625" style="1" customWidth="1"/>
    <col min="9" max="16384" width="11.140625" style="1" customWidth="1"/>
  </cols>
  <sheetData>
    <row r="1" spans="1:6" ht="18.75" customHeight="1">
      <c r="A1" s="88" t="s">
        <v>52</v>
      </c>
      <c r="B1" s="88"/>
      <c r="C1" s="88"/>
      <c r="D1" s="88" t="s">
        <v>0</v>
      </c>
      <c r="E1" s="88"/>
      <c r="F1" s="88"/>
    </row>
    <row r="2" spans="1:6" ht="15.75" customHeight="1">
      <c r="A2" s="88"/>
      <c r="B2" s="88"/>
      <c r="C2" s="88"/>
      <c r="D2" s="28">
        <v>2018</v>
      </c>
      <c r="E2" s="28">
        <v>2019</v>
      </c>
      <c r="F2" s="28">
        <v>2020</v>
      </c>
    </row>
    <row r="3" spans="1:6" s="2" customFormat="1" ht="12.75">
      <c r="A3" s="89" t="s">
        <v>1</v>
      </c>
      <c r="B3" s="89"/>
      <c r="C3" s="89"/>
      <c r="D3" s="30">
        <f>D4+D9+D10+D11+D12+D13+D19</f>
        <v>643719550</v>
      </c>
      <c r="E3" s="30">
        <f>E4+E9+E10+E11+E12+E13+E19</f>
        <v>664028000</v>
      </c>
      <c r="F3" s="30">
        <f>F4+F9+F10+F11+F12+F13+F19</f>
        <v>682849800</v>
      </c>
    </row>
    <row r="4" spans="1:6" ht="12.75">
      <c r="A4" s="90" t="s">
        <v>173</v>
      </c>
      <c r="B4" s="90"/>
      <c r="C4" s="90"/>
      <c r="D4" s="26">
        <f>SUM(D5:D8)</f>
        <v>204690950</v>
      </c>
      <c r="E4" s="26">
        <f>SUM(E5:E8)</f>
        <v>210825000</v>
      </c>
      <c r="F4" s="26">
        <f>SUM(F5:F8)</f>
        <v>216934700</v>
      </c>
    </row>
    <row r="5" spans="1:6" ht="12.75">
      <c r="A5" s="90" t="s">
        <v>2</v>
      </c>
      <c r="B5" s="90"/>
      <c r="C5" s="90"/>
      <c r="D5" s="26">
        <v>52545000</v>
      </c>
      <c r="E5" s="26">
        <v>54119000</v>
      </c>
      <c r="F5" s="26">
        <v>55745000</v>
      </c>
    </row>
    <row r="6" spans="1:6" ht="12.75">
      <c r="A6" s="90" t="s">
        <v>4</v>
      </c>
      <c r="B6" s="90"/>
      <c r="C6" s="90"/>
      <c r="D6" s="26">
        <v>23970000</v>
      </c>
      <c r="E6" s="26">
        <v>24689100</v>
      </c>
      <c r="F6" s="26">
        <v>25432200</v>
      </c>
    </row>
    <row r="7" spans="1:6" ht="12.75">
      <c r="A7" s="90" t="s">
        <v>3</v>
      </c>
      <c r="B7" s="90"/>
      <c r="C7" s="90"/>
      <c r="D7" s="26">
        <v>73954000</v>
      </c>
      <c r="E7" s="26">
        <v>76168000</v>
      </c>
      <c r="F7" s="26">
        <v>78453000</v>
      </c>
    </row>
    <row r="8" spans="1:6" ht="12.75">
      <c r="A8" s="90" t="s">
        <v>5</v>
      </c>
      <c r="B8" s="90"/>
      <c r="C8" s="90"/>
      <c r="D8" s="26">
        <f>22340950+31881000</f>
        <v>54221950</v>
      </c>
      <c r="E8" s="26">
        <f>32825000+23023900</f>
        <v>55848900</v>
      </c>
      <c r="F8" s="26">
        <f>33820000+23484500</f>
        <v>57304500</v>
      </c>
    </row>
    <row r="9" spans="1:6" ht="12.75">
      <c r="A9" s="90" t="s">
        <v>174</v>
      </c>
      <c r="B9" s="90"/>
      <c r="C9" s="90"/>
      <c r="D9" s="26">
        <v>42252000</v>
      </c>
      <c r="E9" s="26">
        <v>44200300</v>
      </c>
      <c r="F9" s="26">
        <v>45525000</v>
      </c>
    </row>
    <row r="10" spans="1:6" ht="12.75">
      <c r="A10" s="90" t="s">
        <v>6</v>
      </c>
      <c r="B10" s="90"/>
      <c r="C10" s="90"/>
      <c r="D10" s="26">
        <v>29170000</v>
      </c>
      <c r="E10" s="26">
        <v>30404900</v>
      </c>
      <c r="F10" s="26">
        <v>31313600</v>
      </c>
    </row>
    <row r="11" spans="1:6" ht="12.75" hidden="1">
      <c r="A11" s="90" t="s">
        <v>7</v>
      </c>
      <c r="B11" s="90"/>
      <c r="C11" s="90"/>
      <c r="D11" s="26">
        <v>0</v>
      </c>
      <c r="E11" s="26">
        <v>0</v>
      </c>
      <c r="F11" s="26">
        <v>0</v>
      </c>
    </row>
    <row r="12" spans="1:6" ht="12.75">
      <c r="A12" s="90" t="s">
        <v>8</v>
      </c>
      <c r="B12" s="90"/>
      <c r="C12" s="90"/>
      <c r="D12" s="26">
        <v>3550400</v>
      </c>
      <c r="E12" s="26">
        <v>3656400</v>
      </c>
      <c r="F12" s="26">
        <v>3766400</v>
      </c>
    </row>
    <row r="13" spans="1:6" ht="12.75">
      <c r="A13" s="90" t="s">
        <v>9</v>
      </c>
      <c r="B13" s="90"/>
      <c r="C13" s="90"/>
      <c r="D13" s="26">
        <f>SUM(D14:D18)</f>
        <v>352113100</v>
      </c>
      <c r="E13" s="26">
        <f>SUM(E14:E18)</f>
        <v>362511200</v>
      </c>
      <c r="F13" s="26">
        <f>SUM(F14:F18)</f>
        <v>372533700</v>
      </c>
    </row>
    <row r="14" spans="1:6" ht="12.75">
      <c r="A14" s="90" t="s">
        <v>10</v>
      </c>
      <c r="B14" s="90"/>
      <c r="C14" s="90"/>
      <c r="D14" s="26">
        <f>69250000+3115000+3070000</f>
        <v>75435000</v>
      </c>
      <c r="E14" s="26">
        <f>71330000+3210000+3162500</f>
        <v>77702500</v>
      </c>
      <c r="F14" s="26">
        <f>73470000+3300000+3250000</f>
        <v>80020000</v>
      </c>
    </row>
    <row r="15" spans="1:6" ht="12.75">
      <c r="A15" s="90" t="s">
        <v>11</v>
      </c>
      <c r="B15" s="90"/>
      <c r="C15" s="90"/>
      <c r="D15" s="26">
        <v>96400000</v>
      </c>
      <c r="E15" s="26">
        <v>99296000</v>
      </c>
      <c r="F15" s="26">
        <v>102274000</v>
      </c>
    </row>
    <row r="16" spans="1:6" ht="12.75">
      <c r="A16" s="90" t="s">
        <v>12</v>
      </c>
      <c r="B16" s="90"/>
      <c r="C16" s="90"/>
      <c r="D16" s="26">
        <v>41616000</v>
      </c>
      <c r="E16" s="26">
        <v>42860000</v>
      </c>
      <c r="F16" s="26">
        <v>44150000</v>
      </c>
    </row>
    <row r="17" spans="1:6" ht="12.75">
      <c r="A17" s="90" t="s">
        <v>13</v>
      </c>
      <c r="B17" s="90"/>
      <c r="C17" s="90"/>
      <c r="D17" s="26">
        <v>91600000</v>
      </c>
      <c r="E17" s="26">
        <v>94348000</v>
      </c>
      <c r="F17" s="26">
        <v>97178400</v>
      </c>
    </row>
    <row r="18" spans="1:6" ht="12.75">
      <c r="A18" s="90" t="s">
        <v>14</v>
      </c>
      <c r="B18" s="90"/>
      <c r="C18" s="90"/>
      <c r="D18" s="26">
        <v>47062100</v>
      </c>
      <c r="E18" s="26">
        <v>48304700</v>
      </c>
      <c r="F18" s="26">
        <v>48911300</v>
      </c>
    </row>
    <row r="19" spans="1:6" ht="12.75">
      <c r="A19" s="90" t="s">
        <v>15</v>
      </c>
      <c r="B19" s="90"/>
      <c r="C19" s="90"/>
      <c r="D19" s="26">
        <v>11943100</v>
      </c>
      <c r="E19" s="26">
        <v>12430200</v>
      </c>
      <c r="F19" s="26">
        <v>12776400</v>
      </c>
    </row>
    <row r="20" spans="1:6" s="2" customFormat="1" ht="12.75">
      <c r="A20" s="89" t="s">
        <v>16</v>
      </c>
      <c r="B20" s="89"/>
      <c r="C20" s="89"/>
      <c r="D20" s="30">
        <f>D21+D23+D22+D24</f>
        <v>40466450</v>
      </c>
      <c r="E20" s="30">
        <f>E21+E23+E22+E24</f>
        <v>2780000</v>
      </c>
      <c r="F20" s="30">
        <f>F21+F23+F22+F24</f>
        <v>2781000</v>
      </c>
    </row>
    <row r="21" spans="1:6" ht="12.75">
      <c r="A21" s="90" t="s">
        <v>17</v>
      </c>
      <c r="B21" s="90"/>
      <c r="C21" s="90"/>
      <c r="D21" s="26">
        <v>0</v>
      </c>
      <c r="E21" s="26">
        <v>0</v>
      </c>
      <c r="F21" s="26">
        <v>0</v>
      </c>
    </row>
    <row r="22" spans="1:6" ht="12.75">
      <c r="A22" s="90" t="s">
        <v>19</v>
      </c>
      <c r="B22" s="90"/>
      <c r="C22" s="90"/>
      <c r="D22" s="26">
        <v>2124300</v>
      </c>
      <c r="E22" s="26">
        <v>2240000</v>
      </c>
      <c r="F22" s="26">
        <v>2240000</v>
      </c>
    </row>
    <row r="23" spans="1:6" ht="12.75">
      <c r="A23" s="90" t="s">
        <v>18</v>
      </c>
      <c r="B23" s="90"/>
      <c r="C23" s="90"/>
      <c r="D23" s="26">
        <v>38000</v>
      </c>
      <c r="E23" s="26">
        <v>40000</v>
      </c>
      <c r="F23" s="26">
        <v>41000</v>
      </c>
    </row>
    <row r="24" spans="1:6" ht="12.75">
      <c r="A24" s="90" t="s">
        <v>150</v>
      </c>
      <c r="B24" s="90"/>
      <c r="C24" s="90"/>
      <c r="D24" s="26">
        <v>38304150</v>
      </c>
      <c r="E24" s="26">
        <v>500000</v>
      </c>
      <c r="F24" s="26">
        <v>500000</v>
      </c>
    </row>
    <row r="25" spans="1:6" ht="12.75">
      <c r="A25" s="89" t="s">
        <v>148</v>
      </c>
      <c r="B25" s="89"/>
      <c r="C25" s="89"/>
      <c r="D25" s="26">
        <v>83541200</v>
      </c>
      <c r="E25" s="26">
        <v>94946800</v>
      </c>
      <c r="F25" s="26">
        <v>97795200</v>
      </c>
    </row>
    <row r="26" spans="1:6" ht="12.75">
      <c r="A26" s="89" t="s">
        <v>149</v>
      </c>
      <c r="B26" s="89"/>
      <c r="C26" s="89"/>
      <c r="D26" s="26">
        <v>42067200</v>
      </c>
      <c r="E26" s="26">
        <v>43329800</v>
      </c>
      <c r="F26" s="26">
        <v>44630000</v>
      </c>
    </row>
    <row r="27" spans="1:6" ht="12.75">
      <c r="A27" s="92" t="s">
        <v>155</v>
      </c>
      <c r="B27" s="93"/>
      <c r="C27" s="94"/>
      <c r="D27" s="26">
        <v>12260000</v>
      </c>
      <c r="E27" s="26">
        <v>12425000</v>
      </c>
      <c r="F27" s="26">
        <v>12796000</v>
      </c>
    </row>
    <row r="28" spans="1:7" s="3" customFormat="1" ht="12.75">
      <c r="A28" s="89" t="s">
        <v>156</v>
      </c>
      <c r="B28" s="89"/>
      <c r="C28" s="89"/>
      <c r="D28" s="30">
        <f>D3+D20+D25-D26-D27</f>
        <v>713400000</v>
      </c>
      <c r="E28" s="30">
        <f>E3+E20+E25-E26-E27</f>
        <v>706000000</v>
      </c>
      <c r="F28" s="30">
        <f>F3+F20+F25-F26-F27</f>
        <v>726000000</v>
      </c>
      <c r="G28" s="3" t="s">
        <v>20</v>
      </c>
    </row>
    <row r="29" spans="1:6" ht="12.75">
      <c r="A29" s="91" t="s">
        <v>153</v>
      </c>
      <c r="B29" s="91"/>
      <c r="C29" s="91"/>
      <c r="D29" s="91"/>
      <c r="E29" s="91"/>
      <c r="F29" s="91"/>
    </row>
    <row r="31" ht="12.75">
      <c r="A31" s="5" t="s">
        <v>21</v>
      </c>
    </row>
    <row r="32" spans="1:6" ht="12.75">
      <c r="A32" s="91" t="s">
        <v>22</v>
      </c>
      <c r="B32" s="91"/>
      <c r="C32" s="91"/>
      <c r="D32" s="91"/>
      <c r="E32" s="91"/>
      <c r="F32" s="91"/>
    </row>
  </sheetData>
  <sheetProtection/>
  <mergeCells count="30">
    <mergeCell ref="A32:F32"/>
    <mergeCell ref="A19:C19"/>
    <mergeCell ref="A20:C20"/>
    <mergeCell ref="A21:C21"/>
    <mergeCell ref="A23:C23"/>
    <mergeCell ref="A22:C22"/>
    <mergeCell ref="A24:C24"/>
    <mergeCell ref="A25:C25"/>
    <mergeCell ref="A12:C12"/>
    <mergeCell ref="A10:C10"/>
    <mergeCell ref="A11:C11"/>
    <mergeCell ref="A13:C13"/>
    <mergeCell ref="A14:C14"/>
    <mergeCell ref="A15:C15"/>
    <mergeCell ref="A7:C7"/>
    <mergeCell ref="A29:F29"/>
    <mergeCell ref="A16:C16"/>
    <mergeCell ref="A17:C17"/>
    <mergeCell ref="A18:C18"/>
    <mergeCell ref="A27:C27"/>
    <mergeCell ref="A8:C8"/>
    <mergeCell ref="A9:C9"/>
    <mergeCell ref="A28:C28"/>
    <mergeCell ref="A26:C26"/>
    <mergeCell ref="D1:F1"/>
    <mergeCell ref="A3:C3"/>
    <mergeCell ref="A4:C4"/>
    <mergeCell ref="A5:C5"/>
    <mergeCell ref="A1:C2"/>
    <mergeCell ref="A6:C6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&amp;CMEMÓRIA E METODOLOGIA I      
Prefeitura Municipal de Santa Maria     
Lei de Diretrizes Orçamentárias     
Memória e Metodologia de Cálculo     
METAS ANUAIS PARA A RECEITA     
2019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7"/>
  <sheetViews>
    <sheetView workbookViewId="0" topLeftCell="A1">
      <selection activeCell="D46" sqref="D46"/>
    </sheetView>
  </sheetViews>
  <sheetFormatPr defaultColWidth="8.57421875" defaultRowHeight="12.75"/>
  <cols>
    <col min="1" max="1" width="38.421875" style="6" customWidth="1"/>
    <col min="2" max="3" width="12.57421875" style="7" customWidth="1"/>
    <col min="4" max="4" width="12.57421875" style="8" customWidth="1"/>
    <col min="5" max="6" width="12.57421875" style="7" customWidth="1"/>
    <col min="7" max="7" width="12.57421875" style="9" customWidth="1"/>
    <col min="8" max="8" width="12.57421875" style="10" customWidth="1"/>
    <col min="9" max="252" width="8.57421875" style="10" customWidth="1"/>
    <col min="253" max="254" width="8.57421875" style="7" customWidth="1"/>
    <col min="255" max="16384" width="8.57421875" style="10" customWidth="1"/>
  </cols>
  <sheetData>
    <row r="1" spans="1:255" s="4" customFormat="1" ht="12.75">
      <c r="A1" s="96" t="s">
        <v>23</v>
      </c>
      <c r="B1" s="97" t="s">
        <v>24</v>
      </c>
      <c r="C1" s="97"/>
      <c r="D1" s="97"/>
      <c r="E1" s="97" t="s">
        <v>25</v>
      </c>
      <c r="F1" s="97"/>
      <c r="G1" s="97"/>
      <c r="H1" s="97"/>
      <c r="IS1" s="11"/>
      <c r="IT1" s="11"/>
      <c r="IU1" s="10"/>
    </row>
    <row r="2" spans="1:255" s="4" customFormat="1" ht="12.75">
      <c r="A2" s="96"/>
      <c r="B2" s="97"/>
      <c r="C2" s="97"/>
      <c r="D2" s="97"/>
      <c r="E2" s="97"/>
      <c r="F2" s="97"/>
      <c r="G2" s="97"/>
      <c r="H2" s="97"/>
      <c r="IS2" s="11"/>
      <c r="IT2" s="11"/>
      <c r="IU2" s="10"/>
    </row>
    <row r="3" spans="1:255" s="4" customFormat="1" ht="12.75">
      <c r="A3" s="96"/>
      <c r="B3" s="97"/>
      <c r="C3" s="97"/>
      <c r="D3" s="97"/>
      <c r="E3" s="97"/>
      <c r="F3" s="97"/>
      <c r="G3" s="97"/>
      <c r="H3" s="97"/>
      <c r="IS3" s="11"/>
      <c r="IT3" s="11"/>
      <c r="IU3" s="10"/>
    </row>
    <row r="4" spans="1:255" s="12" customFormat="1" ht="12.75">
      <c r="A4" s="96"/>
      <c r="B4" s="32">
        <v>2015</v>
      </c>
      <c r="C4" s="32">
        <v>2016</v>
      </c>
      <c r="D4" s="32">
        <v>2017</v>
      </c>
      <c r="E4" s="32">
        <v>2018</v>
      </c>
      <c r="F4" s="32">
        <v>2019</v>
      </c>
      <c r="G4" s="32">
        <v>2020</v>
      </c>
      <c r="H4" s="32">
        <v>2021</v>
      </c>
      <c r="IT4" s="11"/>
      <c r="IU4" s="10"/>
    </row>
    <row r="5" spans="1:255" s="12" customFormat="1" ht="12.75">
      <c r="A5" s="33" t="s">
        <v>26</v>
      </c>
      <c r="B5" s="34">
        <f aca="true" t="shared" si="0" ref="B5:H5">SUM(B6:B12)</f>
        <v>534057420.61</v>
      </c>
      <c r="C5" s="34">
        <f t="shared" si="0"/>
        <v>591717225.31</v>
      </c>
      <c r="D5" s="34">
        <f t="shared" si="0"/>
        <v>627569450.6400001</v>
      </c>
      <c r="E5" s="34">
        <f t="shared" si="0"/>
        <v>623149920</v>
      </c>
      <c r="F5" s="34">
        <f t="shared" si="0"/>
        <v>643719550</v>
      </c>
      <c r="G5" s="35">
        <f t="shared" si="0"/>
        <v>664028000</v>
      </c>
      <c r="H5" s="35">
        <f t="shared" si="0"/>
        <v>682849800</v>
      </c>
      <c r="IT5" s="11"/>
      <c r="IU5" s="10"/>
    </row>
    <row r="6" spans="1:255" s="4" customFormat="1" ht="12.75" customHeight="1">
      <c r="A6" s="73" t="s">
        <v>172</v>
      </c>
      <c r="B6" s="37">
        <v>137203095.87</v>
      </c>
      <c r="C6" s="37">
        <v>150081748.84</v>
      </c>
      <c r="D6" s="37">
        <v>168949435.12</v>
      </c>
      <c r="E6" s="37">
        <v>198713770</v>
      </c>
      <c r="F6" s="38">
        <f>'METAS ANUAIS PARA A RECEITA'!D4</f>
        <v>204690950</v>
      </c>
      <c r="G6" s="38">
        <f>'METAS ANUAIS PARA A RECEITA'!E4</f>
        <v>210825000</v>
      </c>
      <c r="H6" s="38">
        <f>'METAS ANUAIS PARA A RECEITA'!F4</f>
        <v>216934700</v>
      </c>
      <c r="IS6" s="11"/>
      <c r="IT6" s="11"/>
      <c r="IU6" s="10"/>
    </row>
    <row r="7" spans="1:255" s="4" customFormat="1" ht="12.75">
      <c r="A7" s="73" t="s">
        <v>175</v>
      </c>
      <c r="B7" s="37">
        <v>35699720.05</v>
      </c>
      <c r="C7" s="37">
        <v>39093432.68</v>
      </c>
      <c r="D7" s="37">
        <v>41305373.1</v>
      </c>
      <c r="E7" s="37">
        <v>40383900</v>
      </c>
      <c r="F7" s="38">
        <f>'METAS ANUAIS PARA A RECEITA'!D9</f>
        <v>42252000</v>
      </c>
      <c r="G7" s="38">
        <f>'METAS ANUAIS PARA A RECEITA'!E9</f>
        <v>44200300</v>
      </c>
      <c r="H7" s="38">
        <f>'METAS ANUAIS PARA A RECEITA'!F9</f>
        <v>45525000</v>
      </c>
      <c r="IS7" s="11"/>
      <c r="IT7" s="11"/>
      <c r="IU7" s="10"/>
    </row>
    <row r="8" spans="1:255" s="4" customFormat="1" ht="12.75">
      <c r="A8" s="36" t="s">
        <v>27</v>
      </c>
      <c r="B8" s="43">
        <v>50451377.43</v>
      </c>
      <c r="C8" s="43">
        <v>56906569.19</v>
      </c>
      <c r="D8" s="43">
        <v>56157122.07</v>
      </c>
      <c r="E8" s="37">
        <v>28501050</v>
      </c>
      <c r="F8" s="38">
        <f>'METAS ANUAIS PARA A RECEITA'!D10</f>
        <v>29170000</v>
      </c>
      <c r="G8" s="38">
        <f>'METAS ANUAIS PARA A RECEITA'!E10</f>
        <v>30404900</v>
      </c>
      <c r="H8" s="38">
        <f>'METAS ANUAIS PARA A RECEITA'!F10</f>
        <v>31313600</v>
      </c>
      <c r="IS8" s="11"/>
      <c r="IT8" s="11"/>
      <c r="IU8" s="10"/>
    </row>
    <row r="9" spans="1:255" s="4" customFormat="1" ht="12.75">
      <c r="A9" s="36" t="s">
        <v>28</v>
      </c>
      <c r="B9" s="37">
        <v>0</v>
      </c>
      <c r="C9" s="37">
        <v>0</v>
      </c>
      <c r="D9" s="37">
        <v>0</v>
      </c>
      <c r="E9" s="37">
        <v>0</v>
      </c>
      <c r="F9" s="38">
        <f>'METAS ANUAIS PARA A RECEITA'!D11</f>
        <v>0</v>
      </c>
      <c r="G9" s="38">
        <f>'METAS ANUAIS PARA A RECEITA'!E11</f>
        <v>0</v>
      </c>
      <c r="H9" s="38">
        <f>'METAS ANUAIS PARA A RECEITA'!F11</f>
        <v>0</v>
      </c>
      <c r="IS9" s="11"/>
      <c r="IT9" s="11"/>
      <c r="IU9" s="10"/>
    </row>
    <row r="10" spans="1:255" s="4" customFormat="1" ht="12.75">
      <c r="A10" s="36" t="s">
        <v>29</v>
      </c>
      <c r="B10" s="37">
        <v>4517273.92</v>
      </c>
      <c r="C10" s="37">
        <v>3289851.31</v>
      </c>
      <c r="D10" s="37">
        <v>3433705.2</v>
      </c>
      <c r="E10" s="37">
        <v>3700400</v>
      </c>
      <c r="F10" s="38">
        <f>'METAS ANUAIS PARA A RECEITA'!D12</f>
        <v>3550400</v>
      </c>
      <c r="G10" s="38">
        <f>'METAS ANUAIS PARA A RECEITA'!E12</f>
        <v>3656400</v>
      </c>
      <c r="H10" s="38">
        <f>'METAS ANUAIS PARA A RECEITA'!F12</f>
        <v>3766400</v>
      </c>
      <c r="IS10" s="11"/>
      <c r="IT10" s="11"/>
      <c r="IU10" s="10"/>
    </row>
    <row r="11" spans="1:255" s="4" customFormat="1" ht="12.75">
      <c r="A11" s="36" t="s">
        <v>30</v>
      </c>
      <c r="B11" s="37">
        <v>282457276.74</v>
      </c>
      <c r="C11" s="37">
        <v>316420350.9</v>
      </c>
      <c r="D11" s="37">
        <v>323479632.67</v>
      </c>
      <c r="E11" s="37">
        <v>339938100</v>
      </c>
      <c r="F11" s="38">
        <f>'METAS ANUAIS PARA A RECEITA'!D13</f>
        <v>352113100</v>
      </c>
      <c r="G11" s="38">
        <f>'METAS ANUAIS PARA A RECEITA'!E13</f>
        <v>362511200</v>
      </c>
      <c r="H11" s="38">
        <f>'METAS ANUAIS PARA A RECEITA'!F13</f>
        <v>372533700</v>
      </c>
      <c r="IS11" s="11"/>
      <c r="IT11" s="11"/>
      <c r="IU11" s="10"/>
    </row>
    <row r="12" spans="1:255" s="4" customFormat="1" ht="12.75">
      <c r="A12" s="36" t="s">
        <v>31</v>
      </c>
      <c r="B12" s="37">
        <v>23728676.6</v>
      </c>
      <c r="C12" s="37">
        <v>25925272.39</v>
      </c>
      <c r="D12" s="37">
        <v>34244182.48</v>
      </c>
      <c r="E12" s="37">
        <v>11912700</v>
      </c>
      <c r="F12" s="38">
        <f>'METAS ANUAIS PARA A RECEITA'!D19</f>
        <v>11943100</v>
      </c>
      <c r="G12" s="38">
        <f>'METAS ANUAIS PARA A RECEITA'!E19</f>
        <v>12430200</v>
      </c>
      <c r="H12" s="38">
        <f>'METAS ANUAIS PARA A RECEITA'!F19</f>
        <v>12776400</v>
      </c>
      <c r="IS12" s="11"/>
      <c r="IT12" s="11"/>
      <c r="IU12" s="10"/>
    </row>
    <row r="13" spans="1:255" s="13" customFormat="1" ht="12.75">
      <c r="A13" s="39" t="s">
        <v>146</v>
      </c>
      <c r="B13" s="40">
        <v>52015214.01</v>
      </c>
      <c r="C13" s="40">
        <v>61396638.52</v>
      </c>
      <c r="D13" s="40">
        <v>70771348.38</v>
      </c>
      <c r="E13" s="40">
        <v>73070500</v>
      </c>
      <c r="F13" s="41">
        <f>'METAS ANUAIS PARA A RECEITA'!D25</f>
        <v>83541200</v>
      </c>
      <c r="G13" s="41">
        <f>'METAS ANUAIS PARA A RECEITA'!E25</f>
        <v>94946800</v>
      </c>
      <c r="H13" s="41">
        <f>'METAS ANUAIS PARA A RECEITA'!F25</f>
        <v>97795200</v>
      </c>
      <c r="IU13" s="23"/>
    </row>
    <row r="14" spans="1:255" s="12" customFormat="1" ht="12.75">
      <c r="A14" s="33" t="s">
        <v>32</v>
      </c>
      <c r="B14" s="34">
        <f>SUM(B15:B19)</f>
        <v>9709764.49</v>
      </c>
      <c r="C14" s="34">
        <f>SUM(C15:C19)</f>
        <v>9966446.15</v>
      </c>
      <c r="D14" s="34">
        <f>SUM(D15:D19)</f>
        <v>7791563.080000001</v>
      </c>
      <c r="E14" s="34">
        <f>SUM(E15:E18)</f>
        <v>56368200</v>
      </c>
      <c r="F14" s="34">
        <f>SUM(F15:F18)</f>
        <v>40466450</v>
      </c>
      <c r="G14" s="35">
        <f>SUM(G15:G18)</f>
        <v>2780000</v>
      </c>
      <c r="H14" s="35">
        <f>SUM(H15:H18)</f>
        <v>2781000</v>
      </c>
      <c r="IT14" s="11"/>
      <c r="IU14" s="10"/>
    </row>
    <row r="15" spans="1:255" s="4" customFormat="1" ht="12.75">
      <c r="A15" s="36" t="s">
        <v>33</v>
      </c>
      <c r="B15" s="37">
        <v>1514988.68</v>
      </c>
      <c r="C15" s="37">
        <v>5051581.95</v>
      </c>
      <c r="D15" s="37">
        <v>4391904.61</v>
      </c>
      <c r="E15" s="37">
        <v>11600000</v>
      </c>
      <c r="F15" s="37">
        <f>'METAS ANUAIS PARA A RECEITA'!D21</f>
        <v>0</v>
      </c>
      <c r="G15" s="37">
        <f>'METAS ANUAIS PARA A RECEITA'!E21</f>
        <v>0</v>
      </c>
      <c r="H15" s="37">
        <f>'METAS ANUAIS PARA A RECEITA'!F21</f>
        <v>0</v>
      </c>
      <c r="IS15" s="11"/>
      <c r="IT15" s="11"/>
      <c r="IU15" s="10"/>
    </row>
    <row r="16" spans="1:255" s="4" customFormat="1" ht="12.75">
      <c r="A16" s="36" t="s">
        <v>34</v>
      </c>
      <c r="B16" s="37">
        <v>861784.86</v>
      </c>
      <c r="C16" s="37">
        <v>597155.13</v>
      </c>
      <c r="D16" s="37">
        <v>583990.42</v>
      </c>
      <c r="E16" s="37">
        <v>3160000</v>
      </c>
      <c r="F16" s="37">
        <f>'METAS ANUAIS PARA A RECEITA'!D22</f>
        <v>2124300</v>
      </c>
      <c r="G16" s="37">
        <f>'METAS ANUAIS PARA A RECEITA'!E22</f>
        <v>2240000</v>
      </c>
      <c r="H16" s="37">
        <f>'METAS ANUAIS PARA A RECEITA'!F22</f>
        <v>2240000</v>
      </c>
      <c r="IS16" s="11"/>
      <c r="IT16" s="11"/>
      <c r="IU16" s="10"/>
    </row>
    <row r="17" spans="1:255" s="4" customFormat="1" ht="12.75">
      <c r="A17" s="36" t="s">
        <v>35</v>
      </c>
      <c r="B17" s="37">
        <v>32686.75</v>
      </c>
      <c r="C17" s="37">
        <v>33527.61</v>
      </c>
      <c r="D17" s="37">
        <v>20791.99</v>
      </c>
      <c r="E17" s="37">
        <v>37000</v>
      </c>
      <c r="F17" s="37">
        <f>'METAS ANUAIS PARA A RECEITA'!D23</f>
        <v>38000</v>
      </c>
      <c r="G17" s="37">
        <f>'METAS ANUAIS PARA A RECEITA'!E23</f>
        <v>40000</v>
      </c>
      <c r="H17" s="37">
        <f>'METAS ANUAIS PARA A RECEITA'!F23</f>
        <v>41000</v>
      </c>
      <c r="IS17" s="11"/>
      <c r="IT17" s="11"/>
      <c r="IU17" s="10"/>
    </row>
    <row r="18" spans="1:255" s="4" customFormat="1" ht="12.75">
      <c r="A18" s="36" t="s">
        <v>36</v>
      </c>
      <c r="B18" s="37">
        <v>7297935.95</v>
      </c>
      <c r="C18" s="37">
        <v>4282265.83</v>
      </c>
      <c r="D18" s="37">
        <v>2792795.99</v>
      </c>
      <c r="E18" s="37">
        <v>41571200</v>
      </c>
      <c r="F18" s="37">
        <f>'METAS ANUAIS PARA A RECEITA'!D24</f>
        <v>38304150</v>
      </c>
      <c r="G18" s="37">
        <f>'METAS ANUAIS PARA A RECEITA'!E24</f>
        <v>500000</v>
      </c>
      <c r="H18" s="37">
        <f>'METAS ANUAIS PARA A RECEITA'!F24</f>
        <v>500000</v>
      </c>
      <c r="IS18" s="11"/>
      <c r="IT18" s="11"/>
      <c r="IU18" s="10"/>
    </row>
    <row r="19" spans="1:255" s="4" customFormat="1" ht="12.75">
      <c r="A19" s="36" t="s">
        <v>37</v>
      </c>
      <c r="B19" s="43">
        <v>2368.25</v>
      </c>
      <c r="C19" s="43">
        <v>1915.63</v>
      </c>
      <c r="D19" s="43">
        <v>2080.07</v>
      </c>
      <c r="E19" s="37">
        <v>0</v>
      </c>
      <c r="F19" s="38"/>
      <c r="G19" s="42"/>
      <c r="H19" s="42"/>
      <c r="IS19" s="11"/>
      <c r="IT19" s="11"/>
      <c r="IU19" s="10"/>
    </row>
    <row r="20" spans="1:255" s="4" customFormat="1" ht="12.75">
      <c r="A20" s="73" t="s">
        <v>157</v>
      </c>
      <c r="B20" s="37">
        <v>34545594.09</v>
      </c>
      <c r="C20" s="37">
        <v>37710848.76</v>
      </c>
      <c r="D20" s="37">
        <v>38290443.61</v>
      </c>
      <c r="E20" s="37">
        <v>40844120</v>
      </c>
      <c r="F20" s="44">
        <f>'METAS ANUAIS PARA A RECEITA'!D26</f>
        <v>42067200</v>
      </c>
      <c r="G20" s="44">
        <f>'METAS ANUAIS PARA A RECEITA'!E26</f>
        <v>43329800</v>
      </c>
      <c r="H20" s="44">
        <f>'METAS ANUAIS PARA A RECEITA'!F26</f>
        <v>44630000</v>
      </c>
      <c r="IS20" s="11"/>
      <c r="IT20" s="11"/>
      <c r="IU20" s="10"/>
    </row>
    <row r="21" spans="1:255" s="4" customFormat="1" ht="12.75">
      <c r="A21" s="73" t="s">
        <v>161</v>
      </c>
      <c r="B21" s="37">
        <v>21009882.51</v>
      </c>
      <c r="C21" s="37">
        <v>19824126.88</v>
      </c>
      <c r="D21" s="37">
        <v>23915711.64</v>
      </c>
      <c r="E21" s="37">
        <v>11744500</v>
      </c>
      <c r="F21" s="44">
        <f>'METAS ANUAIS PARA A RECEITA'!D27</f>
        <v>12260000</v>
      </c>
      <c r="G21" s="44">
        <f>'METAS ANUAIS PARA A RECEITA'!E27</f>
        <v>12425000</v>
      </c>
      <c r="H21" s="44">
        <f>'METAS ANUAIS PARA A RECEITA'!F27</f>
        <v>12796000</v>
      </c>
      <c r="IS21" s="11"/>
      <c r="IT21" s="11"/>
      <c r="IU21" s="10"/>
    </row>
    <row r="22" spans="1:255" s="13" customFormat="1" ht="12.75">
      <c r="A22" s="33" t="s">
        <v>38</v>
      </c>
      <c r="B22" s="34">
        <f aca="true" t="shared" si="1" ref="B22:H22">B5+B14+B13-B20-B21</f>
        <v>540226922.51</v>
      </c>
      <c r="C22" s="34">
        <f t="shared" si="1"/>
        <v>605545334.3399999</v>
      </c>
      <c r="D22" s="34">
        <f t="shared" si="1"/>
        <v>643926206.8500001</v>
      </c>
      <c r="E22" s="34">
        <f t="shared" si="1"/>
        <v>700000000</v>
      </c>
      <c r="F22" s="34">
        <f t="shared" si="1"/>
        <v>713400000</v>
      </c>
      <c r="G22" s="34">
        <f t="shared" si="1"/>
        <v>706000000</v>
      </c>
      <c r="H22" s="34">
        <f t="shared" si="1"/>
        <v>726000000</v>
      </c>
      <c r="IS22" s="12"/>
      <c r="IT22" s="12"/>
      <c r="IU22" s="10"/>
    </row>
    <row r="23" spans="1:8" ht="12.75">
      <c r="A23" s="98" t="s">
        <v>153</v>
      </c>
      <c r="B23" s="98"/>
      <c r="C23" s="98"/>
      <c r="D23" s="98"/>
      <c r="E23" s="98"/>
      <c r="F23" s="98"/>
      <c r="G23" s="98"/>
      <c r="H23" s="98"/>
    </row>
    <row r="25" spans="1:6" ht="12.75">
      <c r="A25" s="14" t="s">
        <v>39</v>
      </c>
      <c r="B25" s="10"/>
      <c r="C25" s="10"/>
      <c r="D25" s="15"/>
      <c r="E25" s="10"/>
      <c r="F25" s="10"/>
    </row>
    <row r="26" spans="1:6" ht="12.75">
      <c r="A26" s="95" t="s">
        <v>40</v>
      </c>
      <c r="B26" s="95"/>
      <c r="C26" s="95"/>
      <c r="D26" s="95"/>
      <c r="E26" s="95"/>
      <c r="F26" s="10"/>
    </row>
    <row r="27" spans="1:6" ht="12.75">
      <c r="A27" s="95" t="s">
        <v>41</v>
      </c>
      <c r="B27" s="95"/>
      <c r="C27" s="95"/>
      <c r="D27" s="95"/>
      <c r="E27" s="95"/>
      <c r="F27" s="95"/>
    </row>
  </sheetData>
  <sheetProtection/>
  <mergeCells count="6">
    <mergeCell ref="A26:E26"/>
    <mergeCell ref="A27:F27"/>
    <mergeCell ref="A1:A4"/>
    <mergeCell ref="B1:D3"/>
    <mergeCell ref="E1:H3"/>
    <mergeCell ref="A23:H23"/>
  </mergeCells>
  <printOptions horizontalCentered="1"/>
  <pageMargins left="0.3937007874015748" right="0.3937007874015748" top="1.7716535433070868" bottom="0.3937007874015748" header="0.5118110236220472" footer="0.5118110236220472"/>
  <pageSetup firstPageNumber="1" useFirstPageNumber="1" horizontalDpi="600" verticalDpi="600" orientation="landscape" paperSize="9" r:id="rId1"/>
  <headerFooter alignWithMargins="0">
    <oddHeader>&amp;CMEMÓRIA E METODOLOGIA I        
Prefeitura Municipal de Santa Maria       
Lei de Diretrizes Orçamentárias       
Memória e Metodologia de Cálculo       
  METAS ANUAIS PARA A RECEITA – EVOLUÇÃO DA RECEITA       
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34"/>
  <sheetViews>
    <sheetView tabSelected="1" workbookViewId="0" topLeftCell="A115">
      <selection activeCell="A131" sqref="A131:C131"/>
    </sheetView>
  </sheetViews>
  <sheetFormatPr defaultColWidth="11.140625" defaultRowHeight="12.75"/>
  <cols>
    <col min="1" max="3" width="31.140625" style="1" customWidth="1"/>
    <col min="4" max="4" width="11.140625" style="1" customWidth="1"/>
    <col min="5" max="5" width="13.8515625" style="1" bestFit="1" customWidth="1"/>
    <col min="6" max="16384" width="11.140625" style="1" customWidth="1"/>
  </cols>
  <sheetData>
    <row r="2" spans="1:3" ht="12.75">
      <c r="A2" s="99" t="s">
        <v>176</v>
      </c>
      <c r="B2" s="99"/>
      <c r="C2" s="99"/>
    </row>
    <row r="4" spans="1:3" ht="12.75">
      <c r="A4" s="100" t="s">
        <v>42</v>
      </c>
      <c r="B4" s="100" t="s">
        <v>43</v>
      </c>
      <c r="C4" s="100" t="s">
        <v>44</v>
      </c>
    </row>
    <row r="5" spans="1:3" ht="12.75">
      <c r="A5" s="100"/>
      <c r="B5" s="100"/>
      <c r="C5" s="100"/>
    </row>
    <row r="6" spans="1:5" ht="12.75">
      <c r="A6" s="25">
        <v>2015</v>
      </c>
      <c r="B6" s="26">
        <f>'EVOLUÇÃO DA RECEITA'!B6</f>
        <v>137203095.87</v>
      </c>
      <c r="C6" s="27" t="s">
        <v>45</v>
      </c>
      <c r="E6" s="74"/>
    </row>
    <row r="7" spans="1:5" ht="12.75">
      <c r="A7" s="25">
        <v>2016</v>
      </c>
      <c r="B7" s="26">
        <f>'EVOLUÇÃO DA RECEITA'!C6</f>
        <v>150081748.84</v>
      </c>
      <c r="C7" s="27">
        <f aca="true" t="shared" si="0" ref="C7:C12">(B7-B6)/B6</f>
        <v>0.09386561497273012</v>
      </c>
      <c r="E7" s="74"/>
    </row>
    <row r="8" spans="1:5" ht="12.75">
      <c r="A8" s="25">
        <v>2017</v>
      </c>
      <c r="B8" s="26">
        <f>'EVOLUÇÃO DA RECEITA'!D6</f>
        <v>168949435.12</v>
      </c>
      <c r="C8" s="27">
        <f t="shared" si="0"/>
        <v>0.12571606091900336</v>
      </c>
      <c r="E8" s="74"/>
    </row>
    <row r="9" spans="1:5" ht="12.75">
      <c r="A9" s="25">
        <v>2018</v>
      </c>
      <c r="B9" s="26">
        <f>'EVOLUÇÃO DA RECEITA'!E6</f>
        <v>198713770</v>
      </c>
      <c r="C9" s="27">
        <f t="shared" si="0"/>
        <v>0.1761730357894315</v>
      </c>
      <c r="E9" s="74"/>
    </row>
    <row r="10" spans="1:5" ht="12.75">
      <c r="A10" s="25">
        <v>2019</v>
      </c>
      <c r="B10" s="26">
        <f>'EVOLUÇÃO DA RECEITA'!F6</f>
        <v>204690950</v>
      </c>
      <c r="C10" s="27">
        <f t="shared" si="0"/>
        <v>0.03007934477817013</v>
      </c>
      <c r="E10" s="74"/>
    </row>
    <row r="11" spans="1:5" ht="12.75">
      <c r="A11" s="25">
        <v>2020</v>
      </c>
      <c r="B11" s="26">
        <f>'EVOLUÇÃO DA RECEITA'!G6</f>
        <v>210825000</v>
      </c>
      <c r="C11" s="27">
        <f t="shared" si="0"/>
        <v>0.02996737276367128</v>
      </c>
      <c r="E11" s="74"/>
    </row>
    <row r="12" spans="1:5" ht="12.75">
      <c r="A12" s="25">
        <v>2021</v>
      </c>
      <c r="B12" s="26">
        <f>'EVOLUÇÃO DA RECEITA'!H6</f>
        <v>216934700</v>
      </c>
      <c r="C12" s="27">
        <f t="shared" si="0"/>
        <v>0.02897995968220088</v>
      </c>
      <c r="E12" s="74"/>
    </row>
    <row r="13" spans="1:6" ht="12.75">
      <c r="A13" s="101" t="s">
        <v>153</v>
      </c>
      <c r="B13" s="101"/>
      <c r="C13" s="101"/>
      <c r="D13" s="69"/>
      <c r="E13" s="69"/>
      <c r="F13" s="69"/>
    </row>
    <row r="15" ht="12.75">
      <c r="A15" s="5" t="s">
        <v>21</v>
      </c>
    </row>
    <row r="16" spans="1:3" ht="12.75">
      <c r="A16" s="91" t="s">
        <v>22</v>
      </c>
      <c r="B16" s="91"/>
      <c r="C16" s="91"/>
    </row>
    <row r="19" spans="1:3" ht="12.75">
      <c r="A19" s="99" t="s">
        <v>177</v>
      </c>
      <c r="B19" s="99"/>
      <c r="C19" s="99"/>
    </row>
    <row r="21" spans="1:3" ht="12.75">
      <c r="A21" s="100" t="s">
        <v>42</v>
      </c>
      <c r="B21" s="100" t="s">
        <v>43</v>
      </c>
      <c r="C21" s="100" t="s">
        <v>44</v>
      </c>
    </row>
    <row r="22" spans="1:3" ht="12.75">
      <c r="A22" s="100"/>
      <c r="B22" s="100"/>
      <c r="C22" s="100"/>
    </row>
    <row r="23" spans="1:3" ht="12.75">
      <c r="A23" s="25">
        <v>2015</v>
      </c>
      <c r="B23" s="26">
        <f>'EVOLUÇÃO DA RECEITA'!B7</f>
        <v>35699720.05</v>
      </c>
      <c r="C23" s="27" t="s">
        <v>45</v>
      </c>
    </row>
    <row r="24" spans="1:3" ht="12.75">
      <c r="A24" s="25">
        <v>2016</v>
      </c>
      <c r="B24" s="26">
        <f>'EVOLUÇÃO DA RECEITA'!C7</f>
        <v>39093432.68</v>
      </c>
      <c r="C24" s="27">
        <f aca="true" t="shared" si="1" ref="C24:C29">(B24-B23)/B23</f>
        <v>0.09506272388822284</v>
      </c>
    </row>
    <row r="25" spans="1:3" ht="12.75">
      <c r="A25" s="25">
        <v>2017</v>
      </c>
      <c r="B25" s="26">
        <f>'EVOLUÇÃO DA RECEITA'!D7</f>
        <v>41305373.1</v>
      </c>
      <c r="C25" s="27">
        <f t="shared" si="1"/>
        <v>0.056580869684836325</v>
      </c>
    </row>
    <row r="26" spans="1:3" ht="12.75">
      <c r="A26" s="25">
        <v>2018</v>
      </c>
      <c r="B26" s="26">
        <f>'EVOLUÇÃO DA RECEITA'!E7</f>
        <v>40383900</v>
      </c>
      <c r="C26" s="27">
        <f t="shared" si="1"/>
        <v>-0.022308794978540006</v>
      </c>
    </row>
    <row r="27" spans="1:3" ht="12.75">
      <c r="A27" s="25">
        <v>2019</v>
      </c>
      <c r="B27" s="26">
        <f>'EVOLUÇÃO DA RECEITA'!F7</f>
        <v>42252000</v>
      </c>
      <c r="C27" s="27">
        <f t="shared" si="1"/>
        <v>0.04625853372259737</v>
      </c>
    </row>
    <row r="28" spans="1:3" ht="12.75">
      <c r="A28" s="25">
        <v>2020</v>
      </c>
      <c r="B28" s="26">
        <f>'EVOLUÇÃO DA RECEITA'!G7</f>
        <v>44200300</v>
      </c>
      <c r="C28" s="27">
        <f t="shared" si="1"/>
        <v>0.046111426678027076</v>
      </c>
    </row>
    <row r="29" spans="1:3" ht="12.75">
      <c r="A29" s="25">
        <v>2021</v>
      </c>
      <c r="B29" s="26">
        <f>'EVOLUÇÃO DA RECEITA'!H7</f>
        <v>45525000</v>
      </c>
      <c r="C29" s="27">
        <f t="shared" si="1"/>
        <v>0.02997038481639265</v>
      </c>
    </row>
    <row r="30" spans="1:3" ht="12.75">
      <c r="A30" s="101" t="s">
        <v>153</v>
      </c>
      <c r="B30" s="101"/>
      <c r="C30" s="101"/>
    </row>
    <row r="32" ht="12.75">
      <c r="A32" s="5" t="s">
        <v>21</v>
      </c>
    </row>
    <row r="33" spans="1:3" ht="12.75">
      <c r="A33" s="91" t="s">
        <v>22</v>
      </c>
      <c r="B33" s="91"/>
      <c r="C33" s="91"/>
    </row>
    <row r="36" spans="1:3" ht="12.75">
      <c r="A36" s="99" t="s">
        <v>46</v>
      </c>
      <c r="B36" s="99"/>
      <c r="C36" s="99"/>
    </row>
    <row r="38" spans="1:3" ht="12.75">
      <c r="A38" s="100" t="s">
        <v>42</v>
      </c>
      <c r="B38" s="100" t="s">
        <v>43</v>
      </c>
      <c r="C38" s="100" t="s">
        <v>44</v>
      </c>
    </row>
    <row r="39" spans="1:3" ht="12.75">
      <c r="A39" s="100"/>
      <c r="B39" s="100"/>
      <c r="C39" s="100"/>
    </row>
    <row r="40" spans="1:3" ht="12.75">
      <c r="A40" s="25">
        <v>2015</v>
      </c>
      <c r="B40" s="26">
        <f>'EVOLUÇÃO DA RECEITA'!B8</f>
        <v>50451377.43</v>
      </c>
      <c r="C40" s="27" t="s">
        <v>45</v>
      </c>
    </row>
    <row r="41" spans="1:3" ht="12.75">
      <c r="A41" s="25">
        <v>2016</v>
      </c>
      <c r="B41" s="26">
        <f>'EVOLUÇÃO DA RECEITA'!C8</f>
        <v>56906569.19</v>
      </c>
      <c r="C41" s="27">
        <f aca="true" t="shared" si="2" ref="C41:C46">(B41-B40)/B40</f>
        <v>0.12794877144744782</v>
      </c>
    </row>
    <row r="42" spans="1:3" ht="12.75">
      <c r="A42" s="25">
        <v>2017</v>
      </c>
      <c r="B42" s="26">
        <f>'EVOLUÇÃO DA RECEITA'!D8</f>
        <v>56157122.07</v>
      </c>
      <c r="C42" s="27">
        <f t="shared" si="2"/>
        <v>-0.013169782165179186</v>
      </c>
    </row>
    <row r="43" spans="1:3" ht="12.75">
      <c r="A43" s="25">
        <v>2018</v>
      </c>
      <c r="B43" s="26">
        <f>'EVOLUÇÃO DA RECEITA'!E8</f>
        <v>28501050</v>
      </c>
      <c r="C43" s="27">
        <f t="shared" si="2"/>
        <v>-0.492476662809156</v>
      </c>
    </row>
    <row r="44" spans="1:3" ht="12.75">
      <c r="A44" s="25">
        <v>2019</v>
      </c>
      <c r="B44" s="26">
        <f>'EVOLUÇÃO DA RECEITA'!F8</f>
        <v>29170000</v>
      </c>
      <c r="C44" s="27">
        <f t="shared" si="2"/>
        <v>0.02347106510111031</v>
      </c>
    </row>
    <row r="45" spans="1:3" ht="12.75">
      <c r="A45" s="25">
        <v>2020</v>
      </c>
      <c r="B45" s="26">
        <f>'EVOLUÇÃO DA RECEITA'!G8</f>
        <v>30404900</v>
      </c>
      <c r="C45" s="27">
        <f t="shared" si="2"/>
        <v>0.04233459033253342</v>
      </c>
    </row>
    <row r="46" spans="1:3" ht="12.75">
      <c r="A46" s="25">
        <v>2021</v>
      </c>
      <c r="B46" s="26">
        <f>'EVOLUÇÃO DA RECEITA'!H8</f>
        <v>31313600</v>
      </c>
      <c r="C46" s="27">
        <f t="shared" si="2"/>
        <v>0.02988663011554059</v>
      </c>
    </row>
    <row r="47" spans="1:3" ht="12.75">
      <c r="A47" s="101" t="s">
        <v>153</v>
      </c>
      <c r="B47" s="101"/>
      <c r="C47" s="101"/>
    </row>
    <row r="49" ht="12.75">
      <c r="A49" s="5" t="s">
        <v>21</v>
      </c>
    </row>
    <row r="50" spans="1:3" ht="12.75">
      <c r="A50" s="91" t="s">
        <v>22</v>
      </c>
      <c r="B50" s="91"/>
      <c r="C50" s="91"/>
    </row>
    <row r="51" ht="12.75">
      <c r="A51" s="5"/>
    </row>
    <row r="52" spans="1:3" ht="12.75">
      <c r="A52" s="99" t="s">
        <v>47</v>
      </c>
      <c r="B52" s="99"/>
      <c r="C52" s="99"/>
    </row>
    <row r="54" spans="1:3" ht="12.75">
      <c r="A54" s="100" t="s">
        <v>42</v>
      </c>
      <c r="B54" s="100" t="s">
        <v>43</v>
      </c>
      <c r="C54" s="100" t="s">
        <v>44</v>
      </c>
    </row>
    <row r="55" spans="1:3" ht="12.75">
      <c r="A55" s="100"/>
      <c r="B55" s="100"/>
      <c r="C55" s="100"/>
    </row>
    <row r="56" spans="1:3" ht="12.75">
      <c r="A56" s="25">
        <v>2015</v>
      </c>
      <c r="B56" s="26">
        <f>'EVOLUÇÃO DA RECEITA'!B11</f>
        <v>282457276.74</v>
      </c>
      <c r="C56" s="27" t="s">
        <v>45</v>
      </c>
    </row>
    <row r="57" spans="1:3" ht="12.75">
      <c r="A57" s="25">
        <v>2016</v>
      </c>
      <c r="B57" s="26">
        <f>'EVOLUÇÃO DA RECEITA'!C11</f>
        <v>316420350.9</v>
      </c>
      <c r="C57" s="27">
        <f aca="true" t="shared" si="3" ref="C57:C62">(B57-B56)/B56</f>
        <v>0.1202414558123165</v>
      </c>
    </row>
    <row r="58" spans="1:3" ht="12.75">
      <c r="A58" s="25">
        <v>2017</v>
      </c>
      <c r="B58" s="26">
        <f>'EVOLUÇÃO DA RECEITA'!D11</f>
        <v>323479632.67</v>
      </c>
      <c r="C58" s="27">
        <f t="shared" si="3"/>
        <v>0.02230982220303214</v>
      </c>
    </row>
    <row r="59" spans="1:3" ht="12.75">
      <c r="A59" s="25">
        <v>2018</v>
      </c>
      <c r="B59" s="26">
        <v>340212100</v>
      </c>
      <c r="C59" s="27">
        <f t="shared" si="3"/>
        <v>0.051726494159432056</v>
      </c>
    </row>
    <row r="60" spans="1:3" ht="12.75">
      <c r="A60" s="25">
        <v>2019</v>
      </c>
      <c r="B60" s="26">
        <v>352395300</v>
      </c>
      <c r="C60" s="27">
        <f t="shared" si="3"/>
        <v>0.03581060168053987</v>
      </c>
    </row>
    <row r="61" spans="1:3" ht="12.75">
      <c r="A61" s="25">
        <v>2020</v>
      </c>
      <c r="B61" s="26">
        <v>362801800</v>
      </c>
      <c r="C61" s="27">
        <f t="shared" si="3"/>
        <v>0.02953075707876921</v>
      </c>
    </row>
    <row r="62" spans="1:3" ht="12.75">
      <c r="A62" s="25">
        <v>2021</v>
      </c>
      <c r="B62" s="26">
        <v>372823900</v>
      </c>
      <c r="C62" s="27">
        <f t="shared" si="3"/>
        <v>0.027624173860217892</v>
      </c>
    </row>
    <row r="63" spans="1:3" ht="12.75">
      <c r="A63" s="101" t="s">
        <v>153</v>
      </c>
      <c r="B63" s="101"/>
      <c r="C63" s="101"/>
    </row>
    <row r="64" ht="12.75">
      <c r="A64" s="5"/>
    </row>
    <row r="65" ht="12.75">
      <c r="A65" s="5" t="s">
        <v>21</v>
      </c>
    </row>
    <row r="66" spans="1:3" ht="12.75">
      <c r="A66" s="91" t="s">
        <v>22</v>
      </c>
      <c r="B66" s="91"/>
      <c r="C66" s="91"/>
    </row>
    <row r="67" ht="12.75">
      <c r="A67" s="5"/>
    </row>
    <row r="68" ht="12.75">
      <c r="A68" s="5"/>
    </row>
    <row r="69" spans="1:3" ht="12.75">
      <c r="A69" s="99" t="s">
        <v>48</v>
      </c>
      <c r="B69" s="99"/>
      <c r="C69" s="99"/>
    </row>
    <row r="71" spans="1:3" ht="12.75">
      <c r="A71" s="100" t="s">
        <v>42</v>
      </c>
      <c r="B71" s="100" t="s">
        <v>43</v>
      </c>
      <c r="C71" s="100" t="s">
        <v>44</v>
      </c>
    </row>
    <row r="72" spans="1:3" ht="12.75">
      <c r="A72" s="100"/>
      <c r="B72" s="100"/>
      <c r="C72" s="100"/>
    </row>
    <row r="73" spans="1:3" ht="12.75">
      <c r="A73" s="25">
        <v>2015</v>
      </c>
      <c r="B73" s="26">
        <f>'EVOLUÇÃO DA RECEITA'!B12</f>
        <v>23728676.6</v>
      </c>
      <c r="C73" s="27" t="s">
        <v>45</v>
      </c>
    </row>
    <row r="74" spans="1:3" ht="12.75">
      <c r="A74" s="25">
        <v>2016</v>
      </c>
      <c r="B74" s="26">
        <f>'EVOLUÇÃO DA RECEITA'!C12</f>
        <v>25925272.39</v>
      </c>
      <c r="C74" s="27">
        <f aca="true" t="shared" si="4" ref="C74:C79">(B74-B73)/B73</f>
        <v>0.09257135688721886</v>
      </c>
    </row>
    <row r="75" spans="1:3" ht="12.75">
      <c r="A75" s="25">
        <v>2017</v>
      </c>
      <c r="B75" s="26">
        <f>'EVOLUÇÃO DA RECEITA'!D12</f>
        <v>34244182.48</v>
      </c>
      <c r="C75" s="27">
        <f t="shared" si="4"/>
        <v>0.3208803350204644</v>
      </c>
    </row>
    <row r="76" spans="1:3" ht="12.75">
      <c r="A76" s="25">
        <v>2018</v>
      </c>
      <c r="B76" s="26">
        <v>11638700</v>
      </c>
      <c r="C76" s="27">
        <f t="shared" si="4"/>
        <v>-0.6601262124801058</v>
      </c>
    </row>
    <row r="77" spans="1:3" ht="12.75">
      <c r="A77" s="25">
        <v>2019</v>
      </c>
      <c r="B77" s="26">
        <v>11660900</v>
      </c>
      <c r="C77" s="27">
        <f t="shared" si="4"/>
        <v>0.0019074295239159013</v>
      </c>
    </row>
    <row r="78" spans="1:3" ht="12.75">
      <c r="A78" s="25">
        <v>2020</v>
      </c>
      <c r="B78" s="26">
        <v>12139600</v>
      </c>
      <c r="C78" s="27">
        <f t="shared" si="4"/>
        <v>0.04105171985009733</v>
      </c>
    </row>
    <row r="79" spans="1:3" ht="12.75">
      <c r="A79" s="25">
        <v>2021</v>
      </c>
      <c r="B79" s="26">
        <v>12486200</v>
      </c>
      <c r="C79" s="27">
        <f t="shared" si="4"/>
        <v>0.02855118784803453</v>
      </c>
    </row>
    <row r="80" spans="1:3" ht="12.75">
      <c r="A80" s="101" t="s">
        <v>153</v>
      </c>
      <c r="B80" s="101"/>
      <c r="C80" s="101"/>
    </row>
    <row r="82" ht="12.75">
      <c r="A82" s="5" t="s">
        <v>21</v>
      </c>
    </row>
    <row r="83" spans="1:3" ht="12.75">
      <c r="A83" s="91" t="s">
        <v>22</v>
      </c>
      <c r="B83" s="91"/>
      <c r="C83" s="91"/>
    </row>
    <row r="84" spans="1:3" ht="12.75">
      <c r="A84" s="91" t="s">
        <v>178</v>
      </c>
      <c r="B84" s="91"/>
      <c r="C84" s="91"/>
    </row>
    <row r="87" spans="1:3" ht="12.75">
      <c r="A87" s="99" t="s">
        <v>49</v>
      </c>
      <c r="B87" s="99"/>
      <c r="C87" s="99"/>
    </row>
    <row r="89" spans="1:3" ht="12.75">
      <c r="A89" s="100" t="s">
        <v>42</v>
      </c>
      <c r="B89" s="100" t="s">
        <v>43</v>
      </c>
      <c r="C89" s="100" t="s">
        <v>44</v>
      </c>
    </row>
    <row r="90" spans="1:3" ht="12.75">
      <c r="A90" s="100"/>
      <c r="B90" s="100"/>
      <c r="C90" s="100"/>
    </row>
    <row r="91" spans="1:3" ht="12.75">
      <c r="A91" s="25">
        <v>2015</v>
      </c>
      <c r="B91" s="26">
        <f>'EVOLUÇÃO DA RECEITA'!B15</f>
        <v>1514988.68</v>
      </c>
      <c r="C91" s="27" t="s">
        <v>45</v>
      </c>
    </row>
    <row r="92" spans="1:3" ht="12.75">
      <c r="A92" s="25">
        <v>2016</v>
      </c>
      <c r="B92" s="26">
        <f>'EVOLUÇÃO DA RECEITA'!C15</f>
        <v>5051581.95</v>
      </c>
      <c r="C92" s="27">
        <f>(B92-B91)/B91</f>
        <v>2.3344024392314275</v>
      </c>
    </row>
    <row r="93" spans="1:3" ht="12.75">
      <c r="A93" s="25">
        <v>2017</v>
      </c>
      <c r="B93" s="26">
        <f>'EVOLUÇÃO DA RECEITA'!D15</f>
        <v>4391904.61</v>
      </c>
      <c r="C93" s="27">
        <f>(B93-B92)/B92</f>
        <v>-0.1305882684928035</v>
      </c>
    </row>
    <row r="94" spans="1:3" ht="12.75">
      <c r="A94" s="25">
        <v>2018</v>
      </c>
      <c r="B94" s="26">
        <f>'EVOLUÇÃO DA RECEITA'!E15</f>
        <v>11600000</v>
      </c>
      <c r="C94" s="27">
        <f>(B94-B93)/B93</f>
        <v>1.6412231207362218</v>
      </c>
    </row>
    <row r="95" spans="1:3" ht="12.75">
      <c r="A95" s="25">
        <v>2019</v>
      </c>
      <c r="B95" s="26">
        <f>'EVOLUÇÃO DA RECEITA'!F15</f>
        <v>0</v>
      </c>
      <c r="C95" s="27">
        <f>(B95-B94)/B94</f>
        <v>-1</v>
      </c>
    </row>
    <row r="96" spans="1:3" ht="12.75">
      <c r="A96" s="25">
        <v>2020</v>
      </c>
      <c r="B96" s="26">
        <f>'EVOLUÇÃO DA RECEITA'!G15</f>
        <v>0</v>
      </c>
      <c r="C96" s="27">
        <v>0</v>
      </c>
    </row>
    <row r="97" spans="1:3" ht="12.75">
      <c r="A97" s="25">
        <v>2021</v>
      </c>
      <c r="B97" s="26">
        <f>'EVOLUÇÃO DA RECEITA'!H15</f>
        <v>0</v>
      </c>
      <c r="C97" s="27">
        <v>0</v>
      </c>
    </row>
    <row r="98" spans="1:3" ht="12.75">
      <c r="A98" s="101" t="s">
        <v>153</v>
      </c>
      <c r="B98" s="101"/>
      <c r="C98" s="101"/>
    </row>
    <row r="100" ht="12.75">
      <c r="A100" s="5" t="s">
        <v>21</v>
      </c>
    </row>
    <row r="101" spans="1:3" ht="12.75">
      <c r="A101" s="91" t="s">
        <v>22</v>
      </c>
      <c r="B101" s="91"/>
      <c r="C101" s="91"/>
    </row>
    <row r="103" spans="1:3" ht="12.75">
      <c r="A103" s="99" t="s">
        <v>50</v>
      </c>
      <c r="B103" s="99"/>
      <c r="C103" s="99"/>
    </row>
    <row r="105" spans="1:3" ht="12.75">
      <c r="A105" s="100" t="s">
        <v>42</v>
      </c>
      <c r="B105" s="100" t="s">
        <v>43</v>
      </c>
      <c r="C105" s="100" t="s">
        <v>44</v>
      </c>
    </row>
    <row r="106" spans="1:3" ht="12.75">
      <c r="A106" s="100"/>
      <c r="B106" s="100"/>
      <c r="C106" s="100"/>
    </row>
    <row r="107" spans="1:3" ht="12.75">
      <c r="A107" s="25">
        <v>2015</v>
      </c>
      <c r="B107" s="26">
        <f>'EVOLUÇÃO DA RECEITA'!B17</f>
        <v>32686.75</v>
      </c>
      <c r="C107" s="27" t="s">
        <v>45</v>
      </c>
    </row>
    <row r="108" spans="1:3" ht="12.75">
      <c r="A108" s="25">
        <v>2016</v>
      </c>
      <c r="B108" s="26">
        <f>'EVOLUÇÃO DA RECEITA'!C17</f>
        <v>33527.61</v>
      </c>
      <c r="C108" s="27">
        <f aca="true" t="shared" si="5" ref="C108:C113">(B108-B107)/B107</f>
        <v>0.02572479674485841</v>
      </c>
    </row>
    <row r="109" spans="1:3" ht="12.75">
      <c r="A109" s="25">
        <v>2017</v>
      </c>
      <c r="B109" s="26">
        <f>'EVOLUÇÃO DA RECEITA'!D17</f>
        <v>20791.99</v>
      </c>
      <c r="C109" s="27">
        <f t="shared" si="5"/>
        <v>-0.3798546928934093</v>
      </c>
    </row>
    <row r="110" spans="1:3" ht="12.75">
      <c r="A110" s="25">
        <v>2018</v>
      </c>
      <c r="B110" s="26">
        <f>'EVOLUÇÃO DA RECEITA'!E17</f>
        <v>37000</v>
      </c>
      <c r="C110" s="27">
        <f t="shared" si="5"/>
        <v>0.7795314445611025</v>
      </c>
    </row>
    <row r="111" spans="1:3" ht="12.75">
      <c r="A111" s="25">
        <v>2019</v>
      </c>
      <c r="B111" s="26">
        <f>'EVOLUÇÃO DA RECEITA'!F17</f>
        <v>38000</v>
      </c>
      <c r="C111" s="27">
        <f t="shared" si="5"/>
        <v>0.02702702702702703</v>
      </c>
    </row>
    <row r="112" spans="1:3" ht="12.75">
      <c r="A112" s="25">
        <v>2020</v>
      </c>
      <c r="B112" s="26">
        <f>'EVOLUÇÃO DA RECEITA'!G17</f>
        <v>40000</v>
      </c>
      <c r="C112" s="27">
        <f t="shared" si="5"/>
        <v>0.05263157894736842</v>
      </c>
    </row>
    <row r="113" spans="1:3" ht="12.75">
      <c r="A113" s="25">
        <v>2021</v>
      </c>
      <c r="B113" s="26">
        <f>'EVOLUÇÃO DA RECEITA'!H17</f>
        <v>41000</v>
      </c>
      <c r="C113" s="27">
        <f t="shared" si="5"/>
        <v>0.025</v>
      </c>
    </row>
    <row r="114" spans="1:3" ht="12.75">
      <c r="A114" s="101" t="s">
        <v>153</v>
      </c>
      <c r="B114" s="101"/>
      <c r="C114" s="101"/>
    </row>
    <row r="116" ht="12.75">
      <c r="A116" s="5" t="s">
        <v>21</v>
      </c>
    </row>
    <row r="117" spans="1:3" ht="12.75">
      <c r="A117" s="91" t="s">
        <v>22</v>
      </c>
      <c r="B117" s="91"/>
      <c r="C117" s="91"/>
    </row>
    <row r="120" spans="1:3" ht="12.75">
      <c r="A120" s="99" t="s">
        <v>51</v>
      </c>
      <c r="B120" s="99"/>
      <c r="C120" s="99"/>
    </row>
    <row r="122" spans="1:3" ht="12.75">
      <c r="A122" s="100" t="s">
        <v>42</v>
      </c>
      <c r="B122" s="100" t="s">
        <v>43</v>
      </c>
      <c r="C122" s="100" t="s">
        <v>44</v>
      </c>
    </row>
    <row r="123" spans="1:3" ht="12.75">
      <c r="A123" s="100"/>
      <c r="B123" s="100"/>
      <c r="C123" s="100"/>
    </row>
    <row r="124" spans="1:3" ht="12.75">
      <c r="A124" s="25">
        <v>2015</v>
      </c>
      <c r="B124" s="26">
        <f>'EVOLUÇÃO DA RECEITA'!B16</f>
        <v>861784.86</v>
      </c>
      <c r="C124" s="27" t="s">
        <v>45</v>
      </c>
    </row>
    <row r="125" spans="1:3" ht="12.75">
      <c r="A125" s="25">
        <v>2016</v>
      </c>
      <c r="B125" s="26">
        <f>'EVOLUÇÃO DA RECEITA'!C16</f>
        <v>597155.13</v>
      </c>
      <c r="C125" s="27">
        <f aca="true" t="shared" si="6" ref="C125:C130">(B125-B124)/B124</f>
        <v>-0.30707168608183716</v>
      </c>
    </row>
    <row r="126" spans="1:3" ht="12.75">
      <c r="A126" s="25">
        <v>2017</v>
      </c>
      <c r="B126" s="26">
        <f>'EVOLUÇÃO DA RECEITA'!D16</f>
        <v>583990.42</v>
      </c>
      <c r="C126" s="27">
        <f t="shared" si="6"/>
        <v>-0.022045711974374167</v>
      </c>
    </row>
    <row r="127" spans="1:3" ht="12.75">
      <c r="A127" s="25">
        <v>2018</v>
      </c>
      <c r="B127" s="26">
        <f>'EVOLUÇÃO DA RECEITA'!E16</f>
        <v>3160000</v>
      </c>
      <c r="C127" s="27">
        <f t="shared" si="6"/>
        <v>4.411047667528519</v>
      </c>
    </row>
    <row r="128" spans="1:3" ht="12.75">
      <c r="A128" s="25">
        <v>2019</v>
      </c>
      <c r="B128" s="26">
        <f>'EVOLUÇÃO DA RECEITA'!F16</f>
        <v>2124300</v>
      </c>
      <c r="C128" s="27">
        <f t="shared" si="6"/>
        <v>-0.327753164556962</v>
      </c>
    </row>
    <row r="129" spans="1:3" ht="12.75">
      <c r="A129" s="25">
        <v>2020</v>
      </c>
      <c r="B129" s="26">
        <f>'EVOLUÇÃO DA RECEITA'!G16</f>
        <v>2240000</v>
      </c>
      <c r="C129" s="27">
        <f t="shared" si="6"/>
        <v>0.05446500023537165</v>
      </c>
    </row>
    <row r="130" spans="1:3" ht="12.75">
      <c r="A130" s="25">
        <v>2021</v>
      </c>
      <c r="B130" s="26">
        <f>'EVOLUÇÃO DA RECEITA'!H16</f>
        <v>2240000</v>
      </c>
      <c r="C130" s="27">
        <f t="shared" si="6"/>
        <v>0</v>
      </c>
    </row>
    <row r="131" spans="1:3" ht="12.75">
      <c r="A131" s="101" t="s">
        <v>153</v>
      </c>
      <c r="B131" s="101"/>
      <c r="C131" s="101"/>
    </row>
    <row r="133" ht="12.75">
      <c r="A133" s="5" t="s">
        <v>21</v>
      </c>
    </row>
    <row r="134" spans="1:3" ht="12.75">
      <c r="A134" s="91" t="s">
        <v>22</v>
      </c>
      <c r="B134" s="91"/>
      <c r="C134" s="91"/>
    </row>
  </sheetData>
  <sheetProtection/>
  <mergeCells count="49">
    <mergeCell ref="A131:C131"/>
    <mergeCell ref="A117:C117"/>
    <mergeCell ref="A120:C120"/>
    <mergeCell ref="A122:A123"/>
    <mergeCell ref="B122:B123"/>
    <mergeCell ref="C122:C123"/>
    <mergeCell ref="A80:C80"/>
    <mergeCell ref="A98:C98"/>
    <mergeCell ref="A83:C83"/>
    <mergeCell ref="A87:C87"/>
    <mergeCell ref="A66:C66"/>
    <mergeCell ref="A69:C69"/>
    <mergeCell ref="A71:A72"/>
    <mergeCell ref="B71:B72"/>
    <mergeCell ref="C71:C72"/>
    <mergeCell ref="A84:C84"/>
    <mergeCell ref="A134:C134"/>
    <mergeCell ref="A89:A90"/>
    <mergeCell ref="B89:B90"/>
    <mergeCell ref="C89:C90"/>
    <mergeCell ref="A101:C101"/>
    <mergeCell ref="A103:C103"/>
    <mergeCell ref="A105:A106"/>
    <mergeCell ref="B105:B106"/>
    <mergeCell ref="C105:C106"/>
    <mergeCell ref="A114:C114"/>
    <mergeCell ref="A52:C52"/>
    <mergeCell ref="A54:A55"/>
    <mergeCell ref="B54:B55"/>
    <mergeCell ref="C54:C55"/>
    <mergeCell ref="A33:C33"/>
    <mergeCell ref="A47:C47"/>
    <mergeCell ref="A63:C63"/>
    <mergeCell ref="A21:A22"/>
    <mergeCell ref="B21:B22"/>
    <mergeCell ref="C21:C22"/>
    <mergeCell ref="A36:C36"/>
    <mergeCell ref="A38:A39"/>
    <mergeCell ref="B38:B39"/>
    <mergeCell ref="C38:C39"/>
    <mergeCell ref="A30:C30"/>
    <mergeCell ref="A50:C50"/>
    <mergeCell ref="A2:C2"/>
    <mergeCell ref="A4:A5"/>
    <mergeCell ref="B4:B5"/>
    <mergeCell ref="C4:C5"/>
    <mergeCell ref="A16:C16"/>
    <mergeCell ref="A19:C19"/>
    <mergeCell ref="A13:C13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portrait" paperSize="9" r:id="rId1"/>
  <headerFooter alignWithMargins="0">
    <oddHeader>&amp;CMEMÓRIA E METODOLOGIA I  
Prefeitura Municipal de Santa Maria  
Lei de Diretrizes Orçamentárias  
Memória e Metodologia de Cálculo  
METAS ANUAIS PARA A RECEITA - DEMONSTRATIVO DA VARIAÇÃO DA RECEITA  
2019  
</oddHeader>
  </headerFooter>
  <rowBreaks count="2" manualBreakCount="2">
    <brk id="50" max="255" man="1"/>
    <brk id="1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4" sqref="A4"/>
    </sheetView>
  </sheetViews>
  <sheetFormatPr defaultColWidth="11.28125" defaultRowHeight="12.75"/>
  <cols>
    <col min="1" max="1" width="52.00390625" style="1" customWidth="1"/>
    <col min="2" max="2" width="15.00390625" style="1" customWidth="1"/>
    <col min="3" max="3" width="14.140625" style="1" customWidth="1"/>
    <col min="4" max="4" width="13.7109375" style="1" customWidth="1"/>
    <col min="5" max="16384" width="11.28125" style="1" customWidth="1"/>
  </cols>
  <sheetData>
    <row r="1" spans="1:4" ht="12.75">
      <c r="A1" s="102" t="s">
        <v>52</v>
      </c>
      <c r="B1" s="103">
        <v>2019</v>
      </c>
      <c r="C1" s="103">
        <v>2020</v>
      </c>
      <c r="D1" s="103">
        <v>2021</v>
      </c>
    </row>
    <row r="2" spans="1:4" ht="16.5" customHeight="1">
      <c r="A2" s="102"/>
      <c r="B2" s="103"/>
      <c r="C2" s="103"/>
      <c r="D2" s="103"/>
    </row>
    <row r="3" spans="1:4" ht="12.75">
      <c r="A3" s="45" t="s">
        <v>1</v>
      </c>
      <c r="B3" s="46">
        <f>SUM(B4+B9+B10+B11+B12+B13+B21)</f>
        <v>643719550</v>
      </c>
      <c r="C3" s="46">
        <f>SUM(C4+C9+C10+C11+C12+C13+C21)</f>
        <v>664028000</v>
      </c>
      <c r="D3" s="46">
        <f>SUM(D4+D9+D10+D11+D12+D13+D21)</f>
        <v>682849800</v>
      </c>
    </row>
    <row r="4" spans="1:4" ht="12.75">
      <c r="A4" s="31" t="s">
        <v>173</v>
      </c>
      <c r="B4" s="48">
        <f>SUM(B5:B8)</f>
        <v>204690950</v>
      </c>
      <c r="C4" s="48">
        <f>SUM(C5:C8)</f>
        <v>210825000</v>
      </c>
      <c r="D4" s="48">
        <f>SUM(D5:D8)</f>
        <v>216934700</v>
      </c>
    </row>
    <row r="5" spans="1:4" ht="12.75">
      <c r="A5" s="47" t="s">
        <v>53</v>
      </c>
      <c r="B5" s="48">
        <f>'METAS ANUAIS PARA A RECEITA'!D5</f>
        <v>52545000</v>
      </c>
      <c r="C5" s="48">
        <f>'METAS ANUAIS PARA A RECEITA'!E5</f>
        <v>54119000</v>
      </c>
      <c r="D5" s="48">
        <f>'METAS ANUAIS PARA A RECEITA'!F5</f>
        <v>55745000</v>
      </c>
    </row>
    <row r="6" spans="1:4" ht="12.75">
      <c r="A6" s="47" t="s">
        <v>3</v>
      </c>
      <c r="B6" s="48">
        <f>'METAS ANUAIS PARA A RECEITA'!D6</f>
        <v>23970000</v>
      </c>
      <c r="C6" s="48">
        <f>'METAS ANUAIS PARA A RECEITA'!E6</f>
        <v>24689100</v>
      </c>
      <c r="D6" s="48">
        <f>'METAS ANUAIS PARA A RECEITA'!F6</f>
        <v>25432200</v>
      </c>
    </row>
    <row r="7" spans="1:4" ht="12.75">
      <c r="A7" s="47" t="s">
        <v>4</v>
      </c>
      <c r="B7" s="48">
        <f>'METAS ANUAIS PARA A RECEITA'!D7</f>
        <v>73954000</v>
      </c>
      <c r="C7" s="48">
        <f>'METAS ANUAIS PARA A RECEITA'!E7</f>
        <v>76168000</v>
      </c>
      <c r="D7" s="48">
        <f>'METAS ANUAIS PARA A RECEITA'!F7</f>
        <v>78453000</v>
      </c>
    </row>
    <row r="8" spans="1:4" ht="12.75">
      <c r="A8" s="47" t="s">
        <v>5</v>
      </c>
      <c r="B8" s="48">
        <f>'METAS ANUAIS PARA A RECEITA'!D8</f>
        <v>54221950</v>
      </c>
      <c r="C8" s="48">
        <f>'METAS ANUAIS PARA A RECEITA'!E8</f>
        <v>55848900</v>
      </c>
      <c r="D8" s="48">
        <f>'METAS ANUAIS PARA A RECEITA'!F8</f>
        <v>57304500</v>
      </c>
    </row>
    <row r="9" spans="1:4" ht="12.75">
      <c r="A9" s="47" t="s">
        <v>54</v>
      </c>
      <c r="B9" s="48">
        <f>'METAS ANUAIS PARA A RECEITA'!D9</f>
        <v>42252000</v>
      </c>
      <c r="C9" s="48">
        <f>'METAS ANUAIS PARA A RECEITA'!E9</f>
        <v>44200300</v>
      </c>
      <c r="D9" s="48">
        <f>'METAS ANUAIS PARA A RECEITA'!F9</f>
        <v>45525000</v>
      </c>
    </row>
    <row r="10" spans="1:4" ht="12.75">
      <c r="A10" s="47" t="s">
        <v>6</v>
      </c>
      <c r="B10" s="48">
        <f>'METAS ANUAIS PARA A RECEITA'!D10</f>
        <v>29170000</v>
      </c>
      <c r="C10" s="48">
        <f>'METAS ANUAIS PARA A RECEITA'!E10</f>
        <v>30404900</v>
      </c>
      <c r="D10" s="48">
        <f>'METAS ANUAIS PARA A RECEITA'!F10</f>
        <v>31313600</v>
      </c>
    </row>
    <row r="11" spans="1:4" ht="12.75">
      <c r="A11" s="47" t="s">
        <v>7</v>
      </c>
      <c r="B11" s="48">
        <f>'METAS ANUAIS PARA A RECEITA'!D11</f>
        <v>0</v>
      </c>
      <c r="C11" s="48">
        <f>'METAS ANUAIS PARA A RECEITA'!E11</f>
        <v>0</v>
      </c>
      <c r="D11" s="48">
        <f>'METAS ANUAIS PARA A RECEITA'!F11</f>
        <v>0</v>
      </c>
    </row>
    <row r="12" spans="1:4" ht="12.75">
      <c r="A12" s="47" t="s">
        <v>55</v>
      </c>
      <c r="B12" s="48">
        <f>'METAS ANUAIS PARA A RECEITA'!D12</f>
        <v>3550400</v>
      </c>
      <c r="C12" s="48">
        <f>'METAS ANUAIS PARA A RECEITA'!E12</f>
        <v>3656400</v>
      </c>
      <c r="D12" s="48">
        <f>'METAS ANUAIS PARA A RECEITA'!F12</f>
        <v>3766400</v>
      </c>
    </row>
    <row r="13" spans="1:4" ht="12.75">
      <c r="A13" s="47" t="s">
        <v>9</v>
      </c>
      <c r="B13" s="48">
        <f>SUM(B14:B20)</f>
        <v>352113100</v>
      </c>
      <c r="C13" s="48">
        <f>SUM(C14:C20)</f>
        <v>362511200</v>
      </c>
      <c r="D13" s="48">
        <f>SUM(D14:D20)</f>
        <v>372533700</v>
      </c>
    </row>
    <row r="14" spans="1:4" ht="12.75">
      <c r="A14" s="47" t="s">
        <v>10</v>
      </c>
      <c r="B14" s="48">
        <f>'METAS ANUAIS PARA A RECEITA'!D14</f>
        <v>75435000</v>
      </c>
      <c r="C14" s="48">
        <f>'METAS ANUAIS PARA A RECEITA'!E14</f>
        <v>77702500</v>
      </c>
      <c r="D14" s="48">
        <f>'METAS ANUAIS PARA A RECEITA'!F14</f>
        <v>80020000</v>
      </c>
    </row>
    <row r="15" spans="1:4" ht="12.75">
      <c r="A15" s="47" t="s">
        <v>11</v>
      </c>
      <c r="B15" s="48">
        <f>'METAS ANUAIS PARA A RECEITA'!D15</f>
        <v>96400000</v>
      </c>
      <c r="C15" s="48">
        <f>'METAS ANUAIS PARA A RECEITA'!E15</f>
        <v>99296000</v>
      </c>
      <c r="D15" s="48">
        <f>'METAS ANUAIS PARA A RECEITA'!F15</f>
        <v>102274000</v>
      </c>
    </row>
    <row r="16" spans="1:4" ht="12.75">
      <c r="A16" s="47" t="s">
        <v>56</v>
      </c>
      <c r="B16" s="48">
        <f>'METAS ANUAIS PARA A RECEITA'!D16</f>
        <v>41616000</v>
      </c>
      <c r="C16" s="48">
        <f>'METAS ANUAIS PARA A RECEITA'!E16</f>
        <v>42860000</v>
      </c>
      <c r="D16" s="48">
        <f>'METAS ANUAIS PARA A RECEITA'!F16</f>
        <v>44150000</v>
      </c>
    </row>
    <row r="17" spans="1:4" ht="12.75">
      <c r="A17" s="47" t="s">
        <v>151</v>
      </c>
      <c r="B17" s="48">
        <v>1020000</v>
      </c>
      <c r="C17" s="48">
        <v>1050000</v>
      </c>
      <c r="D17" s="48">
        <v>1080000</v>
      </c>
    </row>
    <row r="18" spans="1:4" ht="12.75">
      <c r="A18" s="47" t="s">
        <v>152</v>
      </c>
      <c r="B18" s="48">
        <v>612000</v>
      </c>
      <c r="C18" s="48">
        <v>631000</v>
      </c>
      <c r="D18" s="48">
        <v>650000</v>
      </c>
    </row>
    <row r="19" spans="1:4" ht="12.75">
      <c r="A19" s="47" t="s">
        <v>13</v>
      </c>
      <c r="B19" s="48">
        <f>'METAS ANUAIS PARA A RECEITA'!D17</f>
        <v>91600000</v>
      </c>
      <c r="C19" s="48">
        <f>'METAS ANUAIS PARA A RECEITA'!E17</f>
        <v>94348000</v>
      </c>
      <c r="D19" s="48">
        <f>'METAS ANUAIS PARA A RECEITA'!F17</f>
        <v>97178400</v>
      </c>
    </row>
    <row r="20" spans="1:4" ht="12.75">
      <c r="A20" s="47" t="s">
        <v>57</v>
      </c>
      <c r="B20" s="48">
        <v>45430100</v>
      </c>
      <c r="C20" s="48">
        <v>46623700</v>
      </c>
      <c r="D20" s="48">
        <v>47181300</v>
      </c>
    </row>
    <row r="21" spans="1:4" ht="12.75">
      <c r="A21" s="47" t="s">
        <v>15</v>
      </c>
      <c r="B21" s="48">
        <f>'METAS ANUAIS PARA A RECEITA'!D19</f>
        <v>11943100</v>
      </c>
      <c r="C21" s="48">
        <f>'METAS ANUAIS PARA A RECEITA'!E19</f>
        <v>12430200</v>
      </c>
      <c r="D21" s="48">
        <f>'METAS ANUAIS PARA A RECEITA'!F19</f>
        <v>12776400</v>
      </c>
    </row>
    <row r="22" spans="1:4" ht="12.75">
      <c r="A22" s="49" t="s">
        <v>58</v>
      </c>
      <c r="B22" s="46">
        <f>SUM(B23+B28+B30+B25+B26+B31+B29+B27)</f>
        <v>136628800</v>
      </c>
      <c r="C22" s="46">
        <f>SUM(C23+C28+C30+C25+C26+C31+C29+C27)</f>
        <v>141587500</v>
      </c>
      <c r="D22" s="46">
        <f>SUM(D23+D28+D30+D25+D26+D31+D29+D27)</f>
        <v>145838000</v>
      </c>
    </row>
    <row r="23" spans="1:4" ht="13.5" customHeight="1">
      <c r="A23" s="50" t="s">
        <v>59</v>
      </c>
      <c r="B23" s="51">
        <f>SUM(B24:B24)</f>
        <v>33109000</v>
      </c>
      <c r="C23" s="51">
        <f>SUM(C24:C24)</f>
        <v>34783300</v>
      </c>
      <c r="D23" s="51">
        <f>SUM(D24:D24)</f>
        <v>35825000</v>
      </c>
    </row>
    <row r="24" spans="1:4" ht="12.75">
      <c r="A24" s="47" t="s">
        <v>60</v>
      </c>
      <c r="B24" s="52">
        <v>33109000</v>
      </c>
      <c r="C24" s="52">
        <v>34783300</v>
      </c>
      <c r="D24" s="52">
        <v>35825000</v>
      </c>
    </row>
    <row r="25" spans="1:4" ht="12.75">
      <c r="A25" s="53" t="s">
        <v>61</v>
      </c>
      <c r="B25" s="54">
        <v>83300</v>
      </c>
      <c r="C25" s="54">
        <v>86800</v>
      </c>
      <c r="D25" s="54">
        <v>90000</v>
      </c>
    </row>
    <row r="26" spans="1:4" ht="12.75">
      <c r="A26" s="47" t="s">
        <v>147</v>
      </c>
      <c r="B26" s="54">
        <v>20925000</v>
      </c>
      <c r="C26" s="54">
        <v>21822700</v>
      </c>
      <c r="D26" s="54">
        <v>22478000</v>
      </c>
    </row>
    <row r="27" spans="1:4" ht="12.75">
      <c r="A27" s="47" t="s">
        <v>160</v>
      </c>
      <c r="B27" s="54">
        <v>322700</v>
      </c>
      <c r="C27" s="54">
        <v>336500</v>
      </c>
      <c r="D27" s="54">
        <v>346000</v>
      </c>
    </row>
    <row r="28" spans="1:4" ht="12.75">
      <c r="A28" s="50" t="s">
        <v>62</v>
      </c>
      <c r="B28" s="52">
        <v>8642600</v>
      </c>
      <c r="C28" s="52">
        <v>9013400</v>
      </c>
      <c r="D28" s="52">
        <v>9283000</v>
      </c>
    </row>
    <row r="29" spans="1:4" ht="12.75">
      <c r="A29" s="50" t="s">
        <v>159</v>
      </c>
      <c r="B29" s="52">
        <v>20846000</v>
      </c>
      <c r="C29" s="52">
        <v>21465000</v>
      </c>
      <c r="D29" s="52">
        <v>22115000</v>
      </c>
    </row>
    <row r="30" spans="1:4" ht="12.75">
      <c r="A30" s="47" t="s">
        <v>63</v>
      </c>
      <c r="B30" s="52">
        <f>'EVOLUÇÃO DA RECEITA'!F20</f>
        <v>42067200</v>
      </c>
      <c r="C30" s="52">
        <f>'EVOLUÇÃO DA RECEITA'!G20</f>
        <v>43329800</v>
      </c>
      <c r="D30" s="52">
        <f>'EVOLUÇÃO DA RECEITA'!H20</f>
        <v>44630000</v>
      </c>
    </row>
    <row r="31" spans="1:4" ht="12.75">
      <c r="A31" s="47" t="s">
        <v>158</v>
      </c>
      <c r="B31" s="52">
        <v>10633000</v>
      </c>
      <c r="C31" s="52">
        <v>10750000</v>
      </c>
      <c r="D31" s="52">
        <v>11071000</v>
      </c>
    </row>
    <row r="32" spans="1:4" ht="12.75">
      <c r="A32" s="55" t="s">
        <v>64</v>
      </c>
      <c r="B32" s="56">
        <f>SUM(B3-B22)</f>
        <v>507090750</v>
      </c>
      <c r="C32" s="56">
        <f>SUM(C3-C22)</f>
        <v>522440500</v>
      </c>
      <c r="D32" s="56">
        <f>SUM(D3-D22)</f>
        <v>537011800</v>
      </c>
    </row>
    <row r="33" spans="1:3" ht="12.75">
      <c r="A33" s="101" t="s">
        <v>153</v>
      </c>
      <c r="B33" s="101"/>
      <c r="C33" s="69"/>
    </row>
    <row r="34" spans="2:4" ht="12.75">
      <c r="B34" s="16"/>
      <c r="C34" s="16"/>
      <c r="D34" s="16"/>
    </row>
    <row r="35" ht="12.75">
      <c r="A35" s="5" t="s">
        <v>21</v>
      </c>
    </row>
    <row r="36" spans="1:2" ht="12.75">
      <c r="A36" s="104" t="s">
        <v>65</v>
      </c>
      <c r="B36" s="104"/>
    </row>
  </sheetData>
  <sheetProtection/>
  <mergeCells count="6">
    <mergeCell ref="A33:B33"/>
    <mergeCell ref="A1:A2"/>
    <mergeCell ref="B1:B2"/>
    <mergeCell ref="A36:B36"/>
    <mergeCell ref="C1:C2"/>
    <mergeCell ref="D1:D2"/>
  </mergeCells>
  <printOptions horizontalCentered="1"/>
  <pageMargins left="0.5118110236220472" right="0.3937007874015748" top="2.0078740157480315" bottom="0.3937007874015748" header="0.5118110236220472" footer="0.5118110236220472"/>
  <pageSetup firstPageNumber="1" useFirstPageNumber="1" horizontalDpi="600" verticalDpi="600" orientation="portrait" paperSize="9" r:id="rId1"/>
  <headerFooter alignWithMargins="0">
    <oddHeader>&amp;CMEMÓRIA E METODOLOGIA I 
Prefeitura Municipal de Santa Maria 
Lei de Diretrizes Orçamentárias 
Memória e Metodologia de Cálculo 
METAS ANUAIS PARA A RECEITA
DEMONSTRATIVO DO CÁLCULO DA RECEITA CORRENTE LÍQUIDA 
2019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5" sqref="B5"/>
    </sheetView>
  </sheetViews>
  <sheetFormatPr defaultColWidth="11.140625" defaultRowHeight="12.75"/>
  <cols>
    <col min="1" max="1" width="43.421875" style="1" customWidth="1"/>
    <col min="2" max="4" width="24.00390625" style="1" customWidth="1"/>
    <col min="5" max="16384" width="11.140625" style="1" customWidth="1"/>
  </cols>
  <sheetData>
    <row r="1" spans="1:4" ht="30.75" customHeight="1">
      <c r="A1" s="57" t="s">
        <v>66</v>
      </c>
      <c r="B1" s="28">
        <v>2019</v>
      </c>
      <c r="C1" s="28">
        <v>2020</v>
      </c>
      <c r="D1" s="28">
        <v>2021</v>
      </c>
    </row>
    <row r="2" spans="1:4" ht="12.75">
      <c r="A2" s="58" t="s">
        <v>154</v>
      </c>
      <c r="B2" s="61">
        <f>B3+B4+B5</f>
        <v>602953049</v>
      </c>
      <c r="C2" s="61">
        <f>C3+C4+C5</f>
        <v>621122640.47</v>
      </c>
      <c r="D2" s="64">
        <f>D3+D4+D5</f>
        <v>639682819.6841</v>
      </c>
    </row>
    <row r="3" spans="1:4" ht="12.75">
      <c r="A3" s="59" t="s">
        <v>67</v>
      </c>
      <c r="B3" s="62">
        <f>'VARIAÇÃO DA DESPESA'!B8</f>
        <v>444700936.46000004</v>
      </c>
      <c r="C3" s="62">
        <f>'VARIAÇÃO DA DESPESA'!B9</f>
        <v>458041964.55380005</v>
      </c>
      <c r="D3" s="64">
        <f>'VARIAÇÃO DA DESPESA'!B10</f>
        <v>471783223.4904141</v>
      </c>
    </row>
    <row r="4" spans="1:4" ht="12.75">
      <c r="A4" s="59" t="s">
        <v>68</v>
      </c>
      <c r="B4" s="62">
        <f>'VARIAÇÃO DA DESPESA'!B25</f>
        <v>2300000</v>
      </c>
      <c r="C4" s="62">
        <f>'VARIAÇÃO DA DESPESA'!B26</f>
        <v>2450000</v>
      </c>
      <c r="D4" s="64">
        <f>'VARIAÇÃO DA DESPESA'!B27</f>
        <v>2450000</v>
      </c>
    </row>
    <row r="5" spans="1:4" ht="12.75">
      <c r="A5" s="59" t="s">
        <v>69</v>
      </c>
      <c r="B5" s="62">
        <f>'VARIAÇÃO DA DESPESA'!B42</f>
        <v>155952112.54</v>
      </c>
      <c r="C5" s="62">
        <f>'VARIAÇÃO DA DESPESA'!B43</f>
        <v>160630675.91619998</v>
      </c>
      <c r="D5" s="64">
        <f>'VARIAÇÃO DA DESPESA'!B44</f>
        <v>165449596.19368598</v>
      </c>
    </row>
    <row r="6" spans="1:4" ht="12.75">
      <c r="A6" s="59" t="s">
        <v>70</v>
      </c>
      <c r="B6" s="62">
        <f>B7+B8+B9</f>
        <v>94096950.99999997</v>
      </c>
      <c r="C6" s="62">
        <f>C7+C8+C9</f>
        <v>68036859.52999997</v>
      </c>
      <c r="D6" s="64">
        <f>D7+D8+D9</f>
        <v>68971465.31589994</v>
      </c>
    </row>
    <row r="7" spans="1:4" ht="12.75">
      <c r="A7" s="59" t="s">
        <v>71</v>
      </c>
      <c r="B7" s="62">
        <f>'VARIAÇÃO DA DESPESA'!B59</f>
        <v>68358950.99999997</v>
      </c>
      <c r="C7" s="62">
        <f>'VARIAÇÃO DA DESPESA'!B60</f>
        <v>40446859.52999997</v>
      </c>
      <c r="D7" s="64">
        <f>'VARIAÇÃO DA DESPESA'!B61</f>
        <v>41380465.31589994</v>
      </c>
    </row>
    <row r="8" spans="1:4" ht="12.75">
      <c r="A8" s="59" t="s">
        <v>72</v>
      </c>
      <c r="B8" s="62">
        <f>'VARIAÇÃO DA DESPESA'!B75</f>
        <v>38000</v>
      </c>
      <c r="C8" s="62">
        <f>'VARIAÇÃO DA DESPESA'!B76</f>
        <v>40000</v>
      </c>
      <c r="D8" s="64">
        <f>'VARIAÇÃO DA DESPESA'!B77</f>
        <v>41000</v>
      </c>
    </row>
    <row r="9" spans="1:4" ht="12.75">
      <c r="A9" s="59" t="s">
        <v>73</v>
      </c>
      <c r="B9" s="62">
        <f>'VARIAÇÃO DA DESPESA'!B92</f>
        <v>25700000</v>
      </c>
      <c r="C9" s="62">
        <f>'VARIAÇÃO DA DESPESA'!B93</f>
        <v>27550000</v>
      </c>
      <c r="D9" s="64">
        <f>'VARIAÇÃO DA DESPESA'!B94</f>
        <v>27550000</v>
      </c>
    </row>
    <row r="10" spans="1:4" ht="12.75">
      <c r="A10" s="60" t="s">
        <v>74</v>
      </c>
      <c r="B10" s="63">
        <f>'VARIAÇÃO DA DESPESA'!B109</f>
        <v>16350000</v>
      </c>
      <c r="C10" s="63">
        <f>'VARIAÇÃO DA DESPESA'!B110</f>
        <v>16840500</v>
      </c>
      <c r="D10" s="64">
        <f>'VARIAÇÃO DA DESPESA'!B111</f>
        <v>17345715</v>
      </c>
    </row>
    <row r="11" spans="1:4" s="2" customFormat="1" ht="12.75">
      <c r="A11" s="29" t="s">
        <v>75</v>
      </c>
      <c r="B11" s="30">
        <f>SUM(B2+B6+B10)</f>
        <v>713400000</v>
      </c>
      <c r="C11" s="30">
        <f>C2+C6+C10</f>
        <v>706000000</v>
      </c>
      <c r="D11" s="30">
        <f>D2+D6+D10</f>
        <v>726000000</v>
      </c>
    </row>
    <row r="12" spans="1:4" ht="12.75">
      <c r="A12" s="101" t="s">
        <v>153</v>
      </c>
      <c r="B12" s="101"/>
      <c r="C12" s="101"/>
      <c r="D12" s="101"/>
    </row>
    <row r="14" ht="12.75">
      <c r="A14" s="5" t="s">
        <v>21</v>
      </c>
    </row>
    <row r="15" spans="1:4" ht="12.75">
      <c r="A15" s="91" t="s">
        <v>76</v>
      </c>
      <c r="B15" s="91"/>
      <c r="C15" s="91"/>
      <c r="D15" s="91"/>
    </row>
  </sheetData>
  <sheetProtection/>
  <mergeCells count="2">
    <mergeCell ref="A15:D15"/>
    <mergeCell ref="A12:D12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&amp;CMEMÓRIA E METODOLOGIA II 
Prefeitura Municipal de Santa Maria   
Lei de Diretrizes Orçamentárias   
Memória e Metodologia de Cálculo   
METAS ANUAIS PARA A DESPESA   
2019  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5"/>
  <sheetViews>
    <sheetView workbookViewId="0" topLeftCell="A94">
      <selection activeCell="A120" sqref="A120:C120"/>
    </sheetView>
  </sheetViews>
  <sheetFormatPr defaultColWidth="11.28125" defaultRowHeight="12.75"/>
  <cols>
    <col min="1" max="3" width="30.421875" style="1" customWidth="1"/>
    <col min="4" max="4" width="13.8515625" style="17" bestFit="1" customWidth="1"/>
    <col min="5" max="6" width="13.8515625" style="1" bestFit="1" customWidth="1"/>
    <col min="7" max="255" width="11.28125" style="1" customWidth="1"/>
  </cols>
  <sheetData>
    <row r="1" spans="1:3" ht="12.75">
      <c r="A1" s="99" t="s">
        <v>77</v>
      </c>
      <c r="B1" s="99"/>
      <c r="C1" s="99"/>
    </row>
    <row r="3" spans="1:3" ht="27" customHeight="1">
      <c r="A3" s="24" t="s">
        <v>42</v>
      </c>
      <c r="B3" s="24" t="s">
        <v>43</v>
      </c>
      <c r="C3" s="24" t="s">
        <v>44</v>
      </c>
    </row>
    <row r="4" spans="1:5" ht="12.75">
      <c r="A4" s="25">
        <v>2015</v>
      </c>
      <c r="B4" s="26">
        <v>335675671.86</v>
      </c>
      <c r="C4" s="27" t="s">
        <v>45</v>
      </c>
      <c r="E4" s="17"/>
    </row>
    <row r="5" spans="1:5" ht="12.75">
      <c r="A5" s="25">
        <v>2016</v>
      </c>
      <c r="B5" s="26">
        <v>379410383.53</v>
      </c>
      <c r="C5" s="27">
        <f aca="true" t="shared" si="0" ref="C5:C10">(B5-B4)/B4</f>
        <v>0.1302885950228778</v>
      </c>
      <c r="E5" s="17"/>
    </row>
    <row r="6" spans="1:5" ht="12.75">
      <c r="A6" s="25">
        <v>2017</v>
      </c>
      <c r="B6" s="26">
        <v>422891527.27</v>
      </c>
      <c r="C6" s="27">
        <f t="shared" si="0"/>
        <v>0.11460188130713601</v>
      </c>
      <c r="E6" s="17"/>
    </row>
    <row r="7" spans="1:5" ht="12.75">
      <c r="A7" s="25">
        <v>2018</v>
      </c>
      <c r="B7" s="26">
        <v>431748482</v>
      </c>
      <c r="C7" s="27">
        <f t="shared" si="0"/>
        <v>0.020943798016424185</v>
      </c>
      <c r="E7" s="17"/>
    </row>
    <row r="8" spans="1:5" ht="12.75">
      <c r="A8" s="25">
        <v>2019</v>
      </c>
      <c r="B8" s="26">
        <f>B7*1.03</f>
        <v>444700936.46000004</v>
      </c>
      <c r="C8" s="27">
        <f t="shared" si="0"/>
        <v>0.03000000000000009</v>
      </c>
      <c r="E8" s="17"/>
    </row>
    <row r="9" spans="1:5" ht="12.75">
      <c r="A9" s="25">
        <v>2020</v>
      </c>
      <c r="B9" s="26">
        <f>B8*1.03</f>
        <v>458041964.55380005</v>
      </c>
      <c r="C9" s="27">
        <f t="shared" si="0"/>
        <v>0.030000000000000016</v>
      </c>
      <c r="E9" s="17"/>
    </row>
    <row r="10" spans="1:5" ht="12.75">
      <c r="A10" s="25">
        <v>2021</v>
      </c>
      <c r="B10" s="26">
        <f>B9*1.03</f>
        <v>471783223.4904141</v>
      </c>
      <c r="C10" s="27">
        <f t="shared" si="0"/>
        <v>0.030000000000000075</v>
      </c>
      <c r="E10" s="17"/>
    </row>
    <row r="11" spans="1:4" ht="12.75">
      <c r="A11" s="101" t="s">
        <v>153</v>
      </c>
      <c r="B11" s="101"/>
      <c r="C11" s="101"/>
      <c r="D11" s="69"/>
    </row>
    <row r="12" ht="12.75">
      <c r="A12" s="5"/>
    </row>
    <row r="13" spans="1:256" s="5" customFormat="1" ht="12.75">
      <c r="A13" s="5" t="s">
        <v>21</v>
      </c>
      <c r="D13" s="18"/>
      <c r="IV13"/>
    </row>
    <row r="14" spans="1:256" s="20" customFormat="1" ht="12.75" customHeight="1">
      <c r="A14" s="105" t="s">
        <v>166</v>
      </c>
      <c r="B14" s="105"/>
      <c r="C14" s="105"/>
      <c r="D14" s="19"/>
      <c r="IV14"/>
    </row>
    <row r="15" spans="1:3" ht="12.75" customHeight="1">
      <c r="A15" s="106" t="s">
        <v>194</v>
      </c>
      <c r="B15" s="106"/>
      <c r="C15" s="106"/>
    </row>
    <row r="16" spans="1:3" ht="12.75">
      <c r="A16" s="106" t="s">
        <v>167</v>
      </c>
      <c r="B16" s="106"/>
      <c r="C16" s="106"/>
    </row>
    <row r="17" spans="1:3" ht="12.75">
      <c r="A17" s="21"/>
      <c r="B17" s="22"/>
      <c r="C17" s="22"/>
    </row>
    <row r="18" spans="1:3" ht="12.75">
      <c r="A18" s="99" t="s">
        <v>78</v>
      </c>
      <c r="B18" s="99"/>
      <c r="C18" s="99"/>
    </row>
    <row r="20" spans="1:3" ht="28.5" customHeight="1">
      <c r="A20" s="24" t="s">
        <v>42</v>
      </c>
      <c r="B20" s="24" t="s">
        <v>43</v>
      </c>
      <c r="C20" s="24" t="s">
        <v>44</v>
      </c>
    </row>
    <row r="21" spans="1:3" ht="12.75">
      <c r="A21" s="25">
        <v>2015</v>
      </c>
      <c r="B21" s="26">
        <v>4447111.8</v>
      </c>
      <c r="C21" s="27" t="s">
        <v>45</v>
      </c>
    </row>
    <row r="22" spans="1:3" ht="12.75">
      <c r="A22" s="25">
        <v>2016</v>
      </c>
      <c r="B22" s="26">
        <v>3152510.67</v>
      </c>
      <c r="C22" s="27">
        <f aca="true" t="shared" si="1" ref="C22:C27">(B22-B21)/B21</f>
        <v>-0.29111054280218457</v>
      </c>
    </row>
    <row r="23" spans="1:3" ht="12.75">
      <c r="A23" s="25">
        <v>2017</v>
      </c>
      <c r="B23" s="26">
        <v>1990196.29</v>
      </c>
      <c r="C23" s="27">
        <f t="shared" si="1"/>
        <v>-0.3686948282398676</v>
      </c>
    </row>
    <row r="24" spans="1:3" ht="12.75">
      <c r="A24" s="25">
        <v>2018</v>
      </c>
      <c r="B24" s="26">
        <v>2000000</v>
      </c>
      <c r="C24" s="27">
        <f t="shared" si="1"/>
        <v>0.004926001545304841</v>
      </c>
    </row>
    <row r="25" spans="1:3" ht="12.75">
      <c r="A25" s="25">
        <v>2019</v>
      </c>
      <c r="B25" s="26">
        <v>2300000</v>
      </c>
      <c r="C25" s="27">
        <f t="shared" si="1"/>
        <v>0.15</v>
      </c>
    </row>
    <row r="26" spans="1:5" ht="12.75">
      <c r="A26" s="25">
        <v>2020</v>
      </c>
      <c r="B26" s="26">
        <v>2450000</v>
      </c>
      <c r="C26" s="27">
        <f t="shared" si="1"/>
        <v>0.06521739130434782</v>
      </c>
      <c r="E26" s="17"/>
    </row>
    <row r="27" spans="1:5" ht="12.75">
      <c r="A27" s="25">
        <v>2021</v>
      </c>
      <c r="B27" s="26">
        <v>2450000</v>
      </c>
      <c r="C27" s="27">
        <f t="shared" si="1"/>
        <v>0</v>
      </c>
      <c r="E27" s="17"/>
    </row>
    <row r="28" spans="1:3" ht="12.75">
      <c r="A28" s="101" t="s">
        <v>153</v>
      </c>
      <c r="B28" s="101"/>
      <c r="C28" s="101"/>
    </row>
    <row r="30" spans="1:256" s="5" customFormat="1" ht="12.75">
      <c r="A30" s="5" t="s">
        <v>21</v>
      </c>
      <c r="D30" s="18"/>
      <c r="IV30"/>
    </row>
    <row r="31" spans="1:256" s="20" customFormat="1" ht="12.75" customHeight="1">
      <c r="A31" s="105" t="s">
        <v>166</v>
      </c>
      <c r="B31" s="105"/>
      <c r="C31" s="105"/>
      <c r="D31" s="19"/>
      <c r="IV31"/>
    </row>
    <row r="32" spans="1:3" ht="12.75" customHeight="1">
      <c r="A32" s="106" t="s">
        <v>194</v>
      </c>
      <c r="B32" s="106"/>
      <c r="C32" s="106"/>
    </row>
    <row r="33" spans="1:3" ht="12.75" customHeight="1">
      <c r="A33" s="106" t="s">
        <v>197</v>
      </c>
      <c r="B33" s="106"/>
      <c r="C33" s="106"/>
    </row>
    <row r="35" spans="1:3" ht="12.75">
      <c r="A35" s="99" t="s">
        <v>79</v>
      </c>
      <c r="B35" s="99"/>
      <c r="C35" s="99"/>
    </row>
    <row r="37" spans="1:3" ht="28.5" customHeight="1">
      <c r="A37" s="24" t="s">
        <v>42</v>
      </c>
      <c r="B37" s="24" t="s">
        <v>43</v>
      </c>
      <c r="C37" s="24" t="s">
        <v>44</v>
      </c>
    </row>
    <row r="38" spans="1:3" ht="12.75">
      <c r="A38" s="25">
        <v>2015</v>
      </c>
      <c r="B38" s="26">
        <v>150350329.37</v>
      </c>
      <c r="C38" s="27" t="s">
        <v>45</v>
      </c>
    </row>
    <row r="39" spans="1:3" ht="12.75">
      <c r="A39" s="25">
        <v>2016</v>
      </c>
      <c r="B39" s="26">
        <v>165206463.2</v>
      </c>
      <c r="C39" s="27">
        <f aca="true" t="shared" si="2" ref="C39:C44">(B39-B38)/B38</f>
        <v>0.09881011829006532</v>
      </c>
    </row>
    <row r="40" spans="1:3" ht="12.75">
      <c r="A40" s="25">
        <v>2017</v>
      </c>
      <c r="B40" s="26">
        <v>164708756.54</v>
      </c>
      <c r="C40" s="27">
        <f t="shared" si="2"/>
        <v>-0.0030126343144182537</v>
      </c>
    </row>
    <row r="41" spans="1:3" ht="12.75">
      <c r="A41" s="25">
        <v>2018</v>
      </c>
      <c r="B41" s="26">
        <v>151409818</v>
      </c>
      <c r="C41" s="27">
        <f t="shared" si="2"/>
        <v>-0.08074214643694615</v>
      </c>
    </row>
    <row r="42" spans="1:3" ht="12.75">
      <c r="A42" s="25">
        <v>2019</v>
      </c>
      <c r="B42" s="26">
        <f>B41*1.03</f>
        <v>155952112.54</v>
      </c>
      <c r="C42" s="27">
        <f t="shared" si="2"/>
        <v>0.029999999999999943</v>
      </c>
    </row>
    <row r="43" spans="1:3" ht="12.75">
      <c r="A43" s="25">
        <v>2020</v>
      </c>
      <c r="B43" s="26">
        <f>B42*1.03</f>
        <v>160630675.91619998</v>
      </c>
      <c r="C43" s="27">
        <f t="shared" si="2"/>
        <v>0.02999999999999994</v>
      </c>
    </row>
    <row r="44" spans="1:3" ht="12.75">
      <c r="A44" s="25">
        <v>2021</v>
      </c>
      <c r="B44" s="26">
        <f>B43*1.03</f>
        <v>165449596.19368598</v>
      </c>
      <c r="C44" s="27">
        <f t="shared" si="2"/>
        <v>0.02999999999999998</v>
      </c>
    </row>
    <row r="45" spans="1:3" ht="12.75">
      <c r="A45" s="101" t="s">
        <v>153</v>
      </c>
      <c r="B45" s="101"/>
      <c r="C45" s="101"/>
    </row>
    <row r="47" spans="1:256" s="5" customFormat="1" ht="12.75">
      <c r="A47" s="5" t="s">
        <v>21</v>
      </c>
      <c r="D47" s="18"/>
      <c r="IV47"/>
    </row>
    <row r="48" spans="1:256" s="20" customFormat="1" ht="12.75" customHeight="1">
      <c r="A48" s="105" t="s">
        <v>166</v>
      </c>
      <c r="B48" s="105"/>
      <c r="C48" s="105"/>
      <c r="D48" s="19"/>
      <c r="IV48"/>
    </row>
    <row r="49" spans="1:3" ht="12.75" customHeight="1">
      <c r="A49" s="106" t="s">
        <v>194</v>
      </c>
      <c r="B49" s="106"/>
      <c r="C49" s="106"/>
    </row>
    <row r="50" spans="1:3" ht="12.75" customHeight="1">
      <c r="A50" s="106" t="s">
        <v>167</v>
      </c>
      <c r="B50" s="106"/>
      <c r="C50" s="106"/>
    </row>
    <row r="51" ht="24.75" customHeight="1"/>
    <row r="52" spans="1:3" ht="12.75">
      <c r="A52" s="99" t="s">
        <v>80</v>
      </c>
      <c r="B52" s="99"/>
      <c r="C52" s="99"/>
    </row>
    <row r="54" spans="1:3" ht="27" customHeight="1">
      <c r="A54" s="24" t="s">
        <v>42</v>
      </c>
      <c r="B54" s="24" t="s">
        <v>43</v>
      </c>
      <c r="C54" s="24" t="s">
        <v>44</v>
      </c>
    </row>
    <row r="55" spans="1:3" ht="12.75">
      <c r="A55" s="25">
        <v>2015</v>
      </c>
      <c r="B55" s="26">
        <v>11441287.9</v>
      </c>
      <c r="C55" s="27" t="s">
        <v>45</v>
      </c>
    </row>
    <row r="56" spans="1:3" ht="12.75">
      <c r="A56" s="25">
        <v>2016</v>
      </c>
      <c r="B56" s="26">
        <v>17068954.63</v>
      </c>
      <c r="C56" s="27">
        <f aca="true" t="shared" si="3" ref="C56:C61">(B56-B55)/B55</f>
        <v>0.491873535495947</v>
      </c>
    </row>
    <row r="57" spans="1:3" ht="12.75">
      <c r="A57" s="25">
        <v>2017</v>
      </c>
      <c r="B57" s="26">
        <v>10096263.52</v>
      </c>
      <c r="C57" s="27">
        <f t="shared" si="3"/>
        <v>-0.408501355891178</v>
      </c>
    </row>
    <row r="58" spans="1:3" ht="12.75">
      <c r="A58" s="25">
        <v>2018</v>
      </c>
      <c r="B58" s="26">
        <v>73421200</v>
      </c>
      <c r="C58" s="27">
        <f t="shared" si="3"/>
        <v>6.272116051107193</v>
      </c>
    </row>
    <row r="59" spans="1:3" ht="12.75">
      <c r="A59" s="25">
        <v>2019</v>
      </c>
      <c r="B59" s="26">
        <f>713400000-B8-B25-B42-B75-B92-B109</f>
        <v>68358950.99999997</v>
      </c>
      <c r="C59" s="27">
        <f t="shared" si="3"/>
        <v>-0.06894805587487034</v>
      </c>
    </row>
    <row r="60" spans="1:3" ht="12.75">
      <c r="A60" s="25">
        <v>2020</v>
      </c>
      <c r="B60" s="26">
        <f>706000000-B9-B26-B43-B76-B93-B110</f>
        <v>40446859.52999997</v>
      </c>
      <c r="C60" s="27">
        <f t="shared" si="3"/>
        <v>-0.4083165563789885</v>
      </c>
    </row>
    <row r="61" spans="1:3" ht="12.75">
      <c r="A61" s="25">
        <v>2021</v>
      </c>
      <c r="B61" s="26">
        <f>726000000-B10-B27-B44-B77-B94-B111</f>
        <v>41380465.31589994</v>
      </c>
      <c r="C61" s="27">
        <f t="shared" si="3"/>
        <v>0.023082281214132316</v>
      </c>
    </row>
    <row r="62" spans="1:3" ht="12.75">
      <c r="A62" s="101" t="s">
        <v>153</v>
      </c>
      <c r="B62" s="101"/>
      <c r="C62" s="101"/>
    </row>
    <row r="64" ht="12.75">
      <c r="A64" s="5" t="s">
        <v>21</v>
      </c>
    </row>
    <row r="65" spans="1:256" s="20" customFormat="1" ht="12.75" customHeight="1">
      <c r="A65" s="105" t="s">
        <v>166</v>
      </c>
      <c r="B65" s="105"/>
      <c r="C65" s="105"/>
      <c r="D65" s="19"/>
      <c r="IV65"/>
    </row>
    <row r="66" spans="1:3" ht="12.75" customHeight="1">
      <c r="A66" s="106" t="s">
        <v>195</v>
      </c>
      <c r="B66" s="106"/>
      <c r="C66" s="106"/>
    </row>
    <row r="68" spans="1:3" ht="12.75">
      <c r="A68" s="99" t="s">
        <v>81</v>
      </c>
      <c r="B68" s="99"/>
      <c r="C68" s="99"/>
    </row>
    <row r="70" spans="1:3" ht="26.25" customHeight="1">
      <c r="A70" s="24" t="s">
        <v>42</v>
      </c>
      <c r="B70" s="24" t="s">
        <v>43</v>
      </c>
      <c r="C70" s="24" t="s">
        <v>44</v>
      </c>
    </row>
    <row r="71" spans="1:3" ht="12.75">
      <c r="A71" s="25">
        <v>2015</v>
      </c>
      <c r="B71" s="26">
        <v>34460.24</v>
      </c>
      <c r="C71" s="27" t="s">
        <v>45</v>
      </c>
    </row>
    <row r="72" spans="1:3" ht="12.75">
      <c r="A72" s="25">
        <v>2016</v>
      </c>
      <c r="B72" s="26">
        <v>31561.88</v>
      </c>
      <c r="C72" s="27">
        <f aca="true" t="shared" si="4" ref="C72:C77">(B72-B71)/B71</f>
        <v>-0.08410736547394902</v>
      </c>
    </row>
    <row r="73" spans="1:3" ht="12.75">
      <c r="A73" s="25">
        <v>2017</v>
      </c>
      <c r="B73" s="26">
        <v>7347.82</v>
      </c>
      <c r="C73" s="27">
        <f t="shared" si="4"/>
        <v>-0.7671932090230367</v>
      </c>
    </row>
    <row r="74" spans="1:3" ht="12.75">
      <c r="A74" s="25">
        <v>2018</v>
      </c>
      <c r="B74" s="26">
        <v>44500</v>
      </c>
      <c r="C74" s="27">
        <f t="shared" si="4"/>
        <v>5.056218034736834</v>
      </c>
    </row>
    <row r="75" spans="1:3" ht="12.75">
      <c r="A75" s="25">
        <v>2019</v>
      </c>
      <c r="B75" s="26">
        <v>38000</v>
      </c>
      <c r="C75" s="27">
        <f t="shared" si="4"/>
        <v>-0.14606741573033707</v>
      </c>
    </row>
    <row r="76" spans="1:3" ht="12.75">
      <c r="A76" s="25">
        <v>2020</v>
      </c>
      <c r="B76" s="26">
        <v>40000</v>
      </c>
      <c r="C76" s="27">
        <f t="shared" si="4"/>
        <v>0.05263157894736842</v>
      </c>
    </row>
    <row r="77" spans="1:3" ht="12.75">
      <c r="A77" s="25">
        <v>2021</v>
      </c>
      <c r="B77" s="26">
        <v>41000</v>
      </c>
      <c r="C77" s="27">
        <f t="shared" si="4"/>
        <v>0.025</v>
      </c>
    </row>
    <row r="78" spans="1:3" ht="12.75" customHeight="1">
      <c r="A78" s="101" t="s">
        <v>153</v>
      </c>
      <c r="B78" s="101"/>
      <c r="C78" s="101"/>
    </row>
    <row r="80" ht="12.75">
      <c r="A80" s="5" t="s">
        <v>21</v>
      </c>
    </row>
    <row r="81" spans="1:256" s="20" customFormat="1" ht="12.75" customHeight="1">
      <c r="A81" s="105" t="s">
        <v>166</v>
      </c>
      <c r="B81" s="105"/>
      <c r="C81" s="105"/>
      <c r="D81" s="19"/>
      <c r="IV81"/>
    </row>
    <row r="82" spans="1:3" ht="12.75" customHeight="1">
      <c r="A82" s="106" t="s">
        <v>194</v>
      </c>
      <c r="B82" s="106"/>
      <c r="C82" s="106"/>
    </row>
    <row r="83" spans="1:3" ht="12.75" customHeight="1">
      <c r="A83" s="106" t="s">
        <v>197</v>
      </c>
      <c r="B83" s="106"/>
      <c r="C83" s="106"/>
    </row>
    <row r="84" spans="1:3" ht="15" customHeight="1">
      <c r="A84" s="106"/>
      <c r="B84" s="106"/>
      <c r="C84" s="106"/>
    </row>
    <row r="85" spans="1:3" ht="12.75">
      <c r="A85" s="99" t="s">
        <v>82</v>
      </c>
      <c r="B85" s="99"/>
      <c r="C85" s="99"/>
    </row>
    <row r="86" ht="9" customHeight="1"/>
    <row r="87" spans="1:3" ht="27" customHeight="1">
      <c r="A87" s="24" t="s">
        <v>42</v>
      </c>
      <c r="B87" s="24" t="s">
        <v>43</v>
      </c>
      <c r="C87" s="24" t="s">
        <v>44</v>
      </c>
    </row>
    <row r="88" spans="1:3" ht="12.75">
      <c r="A88" s="25">
        <v>2015</v>
      </c>
      <c r="B88" s="26">
        <v>12527878.06</v>
      </c>
      <c r="C88" s="27" t="s">
        <v>45</v>
      </c>
    </row>
    <row r="89" spans="1:3" ht="12.75">
      <c r="A89" s="25">
        <v>2016</v>
      </c>
      <c r="B89" s="26">
        <v>21724512.01</v>
      </c>
      <c r="C89" s="27">
        <f aca="true" t="shared" si="5" ref="C89:C94">(B89-B88)/B88</f>
        <v>0.7340935077715788</v>
      </c>
    </row>
    <row r="90" spans="1:3" ht="12.75">
      <c r="A90" s="25">
        <v>2017</v>
      </c>
      <c r="B90" s="26">
        <v>25435848.27</v>
      </c>
      <c r="C90" s="27">
        <f t="shared" si="5"/>
        <v>0.17083634644090667</v>
      </c>
    </row>
    <row r="91" spans="1:3" ht="12.75">
      <c r="A91" s="25">
        <v>2018</v>
      </c>
      <c r="B91" s="26">
        <v>25505000</v>
      </c>
      <c r="C91" s="27">
        <f t="shared" si="5"/>
        <v>0.002718672059447713</v>
      </c>
    </row>
    <row r="92" spans="1:3" ht="12.75">
      <c r="A92" s="25">
        <v>2019</v>
      </c>
      <c r="B92" s="26">
        <f>8700000+17000000</f>
        <v>25700000</v>
      </c>
      <c r="C92" s="27">
        <f t="shared" si="5"/>
        <v>0.007645559694177613</v>
      </c>
    </row>
    <row r="93" spans="1:3" ht="12.75">
      <c r="A93" s="25">
        <v>2020</v>
      </c>
      <c r="B93" s="26">
        <f>9550000+18000000</f>
        <v>27550000</v>
      </c>
      <c r="C93" s="27">
        <f t="shared" si="5"/>
        <v>0.07198443579766536</v>
      </c>
    </row>
    <row r="94" spans="1:3" ht="12.75">
      <c r="A94" s="25">
        <v>2021</v>
      </c>
      <c r="B94" s="26">
        <f>9550000+18000000</f>
        <v>27550000</v>
      </c>
      <c r="C94" s="27">
        <f t="shared" si="5"/>
        <v>0</v>
      </c>
    </row>
    <row r="95" spans="1:3" ht="12.75">
      <c r="A95" s="101" t="s">
        <v>153</v>
      </c>
      <c r="B95" s="101"/>
      <c r="C95" s="101"/>
    </row>
    <row r="96" ht="8.25" customHeight="1"/>
    <row r="97" ht="12.75">
      <c r="A97" s="5" t="s">
        <v>21</v>
      </c>
    </row>
    <row r="98" spans="1:256" s="20" customFormat="1" ht="12.75" customHeight="1">
      <c r="A98" s="105" t="s">
        <v>166</v>
      </c>
      <c r="B98" s="105"/>
      <c r="C98" s="105"/>
      <c r="D98" s="19"/>
      <c r="IV98"/>
    </row>
    <row r="99" spans="1:3" ht="12.75" customHeight="1">
      <c r="A99" s="106" t="s">
        <v>194</v>
      </c>
      <c r="B99" s="106"/>
      <c r="C99" s="106"/>
    </row>
    <row r="100" spans="1:3" ht="12.75" customHeight="1">
      <c r="A100" s="106" t="s">
        <v>167</v>
      </c>
      <c r="B100" s="106"/>
      <c r="C100" s="106"/>
    </row>
    <row r="101" ht="33" customHeight="1"/>
    <row r="102" spans="1:3" ht="17.25" customHeight="1">
      <c r="A102" s="99" t="s">
        <v>83</v>
      </c>
      <c r="B102" s="99"/>
      <c r="C102" s="99"/>
    </row>
    <row r="104" spans="1:3" ht="12.75">
      <c r="A104" s="24" t="s">
        <v>42</v>
      </c>
      <c r="B104" s="24" t="s">
        <v>43</v>
      </c>
      <c r="C104" s="24" t="s">
        <v>44</v>
      </c>
    </row>
    <row r="105" spans="1:3" ht="12.75">
      <c r="A105" s="25">
        <v>2015</v>
      </c>
      <c r="B105" s="26">
        <v>38723000</v>
      </c>
      <c r="C105" s="27" t="s">
        <v>45</v>
      </c>
    </row>
    <row r="106" spans="1:3" ht="12.75">
      <c r="A106" s="25">
        <v>2016</v>
      </c>
      <c r="B106" s="26">
        <v>30047700</v>
      </c>
      <c r="C106" s="27">
        <f aca="true" t="shared" si="6" ref="C106:C111">(B106-B105)/B105</f>
        <v>-0.2240348113524262</v>
      </c>
    </row>
    <row r="107" spans="1:3" ht="12.75">
      <c r="A107" s="25">
        <v>2017</v>
      </c>
      <c r="B107" s="26">
        <v>24676000</v>
      </c>
      <c r="C107" s="27">
        <f t="shared" si="6"/>
        <v>-0.17877241852121792</v>
      </c>
    </row>
    <row r="108" spans="1:3" ht="12.75">
      <c r="A108" s="25">
        <v>2018</v>
      </c>
      <c r="B108" s="26">
        <v>15871000</v>
      </c>
      <c r="C108" s="27">
        <f t="shared" si="6"/>
        <v>-0.3568244448046685</v>
      </c>
    </row>
    <row r="109" spans="1:3" ht="12.75">
      <c r="A109" s="25">
        <v>2019</v>
      </c>
      <c r="B109" s="26">
        <v>16350000</v>
      </c>
      <c r="C109" s="27">
        <f t="shared" si="6"/>
        <v>0.030180832965786653</v>
      </c>
    </row>
    <row r="110" spans="1:3" ht="12.75">
      <c r="A110" s="25">
        <v>2020</v>
      </c>
      <c r="B110" s="26">
        <f>B109*1.03</f>
        <v>16840500</v>
      </c>
      <c r="C110" s="27">
        <f t="shared" si="6"/>
        <v>0.03</v>
      </c>
    </row>
    <row r="111" spans="1:3" ht="12.75">
      <c r="A111" s="25">
        <v>2021</v>
      </c>
      <c r="B111" s="26">
        <f>B110*1.03</f>
        <v>17345715</v>
      </c>
      <c r="C111" s="27">
        <f t="shared" si="6"/>
        <v>0.03</v>
      </c>
    </row>
    <row r="112" spans="1:3" ht="12.75">
      <c r="A112" s="101" t="s">
        <v>153</v>
      </c>
      <c r="B112" s="101"/>
      <c r="C112" s="101"/>
    </row>
    <row r="114" ht="12.75">
      <c r="A114" s="5" t="s">
        <v>21</v>
      </c>
    </row>
    <row r="115" spans="1:3" ht="25.5" customHeight="1">
      <c r="A115" s="106" t="s">
        <v>168</v>
      </c>
      <c r="B115" s="106"/>
      <c r="C115" s="106"/>
    </row>
    <row r="116" spans="1:3" ht="27.75" customHeight="1">
      <c r="A116" s="106" t="s">
        <v>169</v>
      </c>
      <c r="B116" s="106"/>
      <c r="C116" s="106"/>
    </row>
    <row r="117" spans="1:3" ht="27.75" customHeight="1">
      <c r="A117" s="106" t="s">
        <v>170</v>
      </c>
      <c r="B117" s="106"/>
      <c r="C117" s="106"/>
    </row>
    <row r="118" spans="1:3" ht="26.25" customHeight="1">
      <c r="A118" s="106" t="s">
        <v>171</v>
      </c>
      <c r="B118" s="106"/>
      <c r="C118" s="106"/>
    </row>
    <row r="119" spans="1:3" ht="24.75" customHeight="1">
      <c r="A119" s="107" t="s">
        <v>184</v>
      </c>
      <c r="B119" s="107"/>
      <c r="C119" s="107"/>
    </row>
    <row r="120" spans="1:3" ht="12.75">
      <c r="A120" s="106" t="s">
        <v>196</v>
      </c>
      <c r="B120" s="106"/>
      <c r="C120" s="106"/>
    </row>
    <row r="122" ht="12.75">
      <c r="B122" s="17"/>
    </row>
    <row r="123" ht="12.75">
      <c r="B123" s="17"/>
    </row>
    <row r="124" ht="12.75">
      <c r="B124" s="17"/>
    </row>
    <row r="125" ht="12.75">
      <c r="B125" s="17"/>
    </row>
  </sheetData>
  <sheetProtection/>
  <mergeCells count="38">
    <mergeCell ref="A83:C83"/>
    <mergeCell ref="A117:C117"/>
    <mergeCell ref="A112:C112"/>
    <mergeCell ref="A119:C119"/>
    <mergeCell ref="A100:C100"/>
    <mergeCell ref="A99:C99"/>
    <mergeCell ref="A65:C65"/>
    <mergeCell ref="A66:C66"/>
    <mergeCell ref="A62:C62"/>
    <mergeCell ref="A68:C68"/>
    <mergeCell ref="A81:C81"/>
    <mergeCell ref="A82:C82"/>
    <mergeCell ref="A98:C98"/>
    <mergeCell ref="A120:C120"/>
    <mergeCell ref="A102:C102"/>
    <mergeCell ref="A115:C115"/>
    <mergeCell ref="A118:C118"/>
    <mergeCell ref="A116:C116"/>
    <mergeCell ref="A33:C33"/>
    <mergeCell ref="A28:C28"/>
    <mergeCell ref="A35:C35"/>
    <mergeCell ref="A48:C48"/>
    <mergeCell ref="A78:C78"/>
    <mergeCell ref="A95:C95"/>
    <mergeCell ref="A84:C84"/>
    <mergeCell ref="A85:C85"/>
    <mergeCell ref="A50:C50"/>
    <mergeCell ref="A52:C52"/>
    <mergeCell ref="A1:C1"/>
    <mergeCell ref="A14:C14"/>
    <mergeCell ref="A15:C15"/>
    <mergeCell ref="A16:C16"/>
    <mergeCell ref="A18:C18"/>
    <mergeCell ref="A49:C49"/>
    <mergeCell ref="A45:C45"/>
    <mergeCell ref="A11:C11"/>
    <mergeCell ref="A31:C31"/>
    <mergeCell ref="A32:C32"/>
  </mergeCells>
  <printOptions horizontalCentered="1"/>
  <pageMargins left="0.3937007874015748" right="0.3937007874015748" top="1.7716535433070868" bottom="0.46" header="0.5118110236220472" footer="0.59"/>
  <pageSetup firstPageNumber="1" useFirstPageNumber="1" horizontalDpi="600" verticalDpi="600" orientation="portrait" paperSize="9" r:id="rId1"/>
  <headerFooter alignWithMargins="0">
    <oddHeader>&amp;CMEMÓRIA E METODOLOGIA II 
Prefeitura Municipal de Santa Maria  
Lei de Diretrizes Orçamentárias  
Memória e Metodologia de Cálculo  
METAS ANUAIS PARA A DESPESA - DEMONSTRATIVO DA VARIAÇÃO DA DESPESA  
2019 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54"/>
  <sheetViews>
    <sheetView zoomScaleSheetLayoutView="100" workbookViewId="0" topLeftCell="A1">
      <selection activeCell="A3" sqref="A3"/>
    </sheetView>
  </sheetViews>
  <sheetFormatPr defaultColWidth="11.140625" defaultRowHeight="12.75"/>
  <cols>
    <col min="1" max="1" width="46.421875" style="1" customWidth="1"/>
    <col min="2" max="2" width="13.00390625" style="1" customWidth="1"/>
    <col min="3" max="3" width="12.8515625" style="1" customWidth="1"/>
    <col min="4" max="5" width="12.57421875" style="1" customWidth="1"/>
    <col min="6" max="6" width="12.28125" style="1" customWidth="1"/>
    <col min="7" max="7" width="14.140625" style="1" bestFit="1" customWidth="1"/>
    <col min="8" max="8" width="12.57421875" style="1" customWidth="1"/>
    <col min="9" max="9" width="16.140625" style="1" customWidth="1"/>
    <col min="10" max="10" width="14.140625" style="1" customWidth="1"/>
    <col min="11" max="11" width="16.00390625" style="1" customWidth="1"/>
    <col min="12" max="12" width="11.140625" style="1" customWidth="1"/>
    <col min="13" max="13" width="13.140625" style="1" customWidth="1"/>
    <col min="14" max="14" width="11.7109375" style="1" customWidth="1"/>
    <col min="15" max="15" width="13.140625" style="1" customWidth="1"/>
    <col min="16" max="255" width="11.140625" style="1" customWidth="1"/>
  </cols>
  <sheetData>
    <row r="1" spans="1:255" ht="12.75">
      <c r="A1" s="28" t="s">
        <v>52</v>
      </c>
      <c r="B1" s="65">
        <v>2015</v>
      </c>
      <c r="C1" s="65">
        <v>2016</v>
      </c>
      <c r="D1" s="65">
        <v>2017</v>
      </c>
      <c r="E1" s="65">
        <v>2018</v>
      </c>
      <c r="F1" s="65">
        <v>2019</v>
      </c>
      <c r="G1" s="65">
        <v>2020</v>
      </c>
      <c r="H1" s="65">
        <v>2021</v>
      </c>
      <c r="IQ1"/>
      <c r="IR1"/>
      <c r="IS1"/>
      <c r="IT1"/>
      <c r="IU1"/>
    </row>
    <row r="2" spans="1:8" ht="12.75">
      <c r="A2" s="29" t="s">
        <v>84</v>
      </c>
      <c r="B2" s="30">
        <f>B3+B4+B7+B10+B11</f>
        <v>520646657.7</v>
      </c>
      <c r="C2" s="30">
        <f>C3+C4+C7+C10+C11</f>
        <v>552783500.63</v>
      </c>
      <c r="D2" s="30">
        <f>D3+D4+D7+D10+D11</f>
        <v>599317278.0799999</v>
      </c>
      <c r="E2" s="30">
        <f>E3+E4+E7+E10+E11-E5-E14</f>
        <v>544062250</v>
      </c>
      <c r="F2" s="30">
        <f>F3+F4+F7+F10+F11-F5-F14</f>
        <v>564476950</v>
      </c>
      <c r="G2" s="30">
        <f>G3+G4+G7+G10+G11-G5-G14</f>
        <v>580212500</v>
      </c>
      <c r="H2" s="30">
        <f>H3+H4+H7+H10+H11-H5-H14</f>
        <v>596524000</v>
      </c>
    </row>
    <row r="3" spans="1:8" ht="12.75">
      <c r="A3" s="31" t="s">
        <v>173</v>
      </c>
      <c r="B3" s="26">
        <v>134540113.86</v>
      </c>
      <c r="C3" s="26">
        <v>146903567.5</v>
      </c>
      <c r="D3" s="26">
        <v>165441703.1</v>
      </c>
      <c r="E3" s="26">
        <f>'EVOLUÇÃO DA RECEITA'!E6-'EVOLUÇÃO DA RECEITA'!E21+1560000</f>
        <v>188529270</v>
      </c>
      <c r="F3" s="26">
        <f>'EVOLUÇÃO DA RECEITA'!F6-'EVOLUÇÃO DA RECEITA'!F21+1627000</f>
        <v>194057950</v>
      </c>
      <c r="G3" s="26">
        <f>'EVOLUÇÃO DA RECEITA'!G6-'EVOLUÇÃO DA RECEITA'!G21+1675000</f>
        <v>200075000</v>
      </c>
      <c r="H3" s="26">
        <f>'EVOLUÇÃO DA RECEITA'!H6-'EVOLUÇÃO DA RECEITA'!H21+1725000</f>
        <v>205863700</v>
      </c>
    </row>
    <row r="4" spans="1:8" ht="12.75">
      <c r="A4" s="31" t="s">
        <v>85</v>
      </c>
      <c r="B4" s="26">
        <f aca="true" t="shared" si="0" ref="B4:H4">SUM(B5:B6)</f>
        <v>85788815.39</v>
      </c>
      <c r="C4" s="26">
        <f t="shared" si="0"/>
        <v>98684471.14</v>
      </c>
      <c r="D4" s="26">
        <f t="shared" si="0"/>
        <v>112071189.72</v>
      </c>
      <c r="E4" s="26">
        <f t="shared" si="0"/>
        <v>113454400</v>
      </c>
      <c r="F4" s="26">
        <f t="shared" si="0"/>
        <v>125793200</v>
      </c>
      <c r="G4" s="26">
        <f t="shared" si="0"/>
        <v>139147100</v>
      </c>
      <c r="H4" s="26">
        <f t="shared" si="0"/>
        <v>143320200</v>
      </c>
    </row>
    <row r="5" spans="1:8" ht="12.75">
      <c r="A5" s="31" t="s">
        <v>179</v>
      </c>
      <c r="B5" s="26">
        <v>63417262.8</v>
      </c>
      <c r="C5" s="26">
        <v>74328588.72</v>
      </c>
      <c r="D5" s="26">
        <v>86261843.82</v>
      </c>
      <c r="E5" s="26">
        <v>73070500</v>
      </c>
      <c r="F5" s="26">
        <v>83541200</v>
      </c>
      <c r="G5" s="26">
        <v>94946800</v>
      </c>
      <c r="H5" s="26">
        <v>97795200</v>
      </c>
    </row>
    <row r="6" spans="1:8" ht="12.75">
      <c r="A6" s="31" t="s">
        <v>86</v>
      </c>
      <c r="B6" s="26">
        <v>22371552.59</v>
      </c>
      <c r="C6" s="26">
        <v>24355882.42</v>
      </c>
      <c r="D6" s="26">
        <v>25809345.9</v>
      </c>
      <c r="E6" s="26">
        <f>'EVOLUÇÃO DA RECEITA'!E7+'EVOLUÇÃO DA RECEITA'!E13-'META DO RESULTADO PRIMÁRIO'!E5</f>
        <v>40383900</v>
      </c>
      <c r="F6" s="26">
        <f>'EVOLUÇÃO DA RECEITA'!F7+'EVOLUÇÃO DA RECEITA'!F13-'META DO RESULTADO PRIMÁRIO'!F5</f>
        <v>42252000</v>
      </c>
      <c r="G6" s="26">
        <f>'EVOLUÇÃO DA RECEITA'!G7+'EVOLUÇÃO DA RECEITA'!G13-'META DO RESULTADO PRIMÁRIO'!G5</f>
        <v>44200300</v>
      </c>
      <c r="H6" s="26">
        <f>'EVOLUÇÃO DA RECEITA'!H7+'EVOLUÇÃO DA RECEITA'!H13-'META DO RESULTADO PRIMÁRIO'!H5</f>
        <v>45525000</v>
      </c>
    </row>
    <row r="7" spans="1:8" ht="12.75">
      <c r="A7" s="31" t="s">
        <v>87</v>
      </c>
      <c r="B7" s="26">
        <f aca="true" t="shared" si="1" ref="B7:H7">B8-B9</f>
        <v>25230423.85</v>
      </c>
      <c r="C7" s="26">
        <f t="shared" si="1"/>
        <v>480295.3100000024</v>
      </c>
      <c r="D7" s="26">
        <f t="shared" si="1"/>
        <v>536701.0099999979</v>
      </c>
      <c r="E7" s="26">
        <f t="shared" si="1"/>
        <v>631000</v>
      </c>
      <c r="F7" s="26">
        <f t="shared" si="1"/>
        <v>2627600</v>
      </c>
      <c r="G7" s="26">
        <f t="shared" si="1"/>
        <v>669200</v>
      </c>
      <c r="H7" s="26">
        <f t="shared" si="1"/>
        <v>688800</v>
      </c>
    </row>
    <row r="8" spans="1:8" ht="12.75">
      <c r="A8" s="31" t="s">
        <v>88</v>
      </c>
      <c r="B8" s="26">
        <v>35789201.68</v>
      </c>
      <c r="C8" s="26">
        <v>43824953.56</v>
      </c>
      <c r="D8" s="26">
        <v>37813497.89</v>
      </c>
      <c r="E8" s="26">
        <f>'EVOLUÇÃO DA RECEITA'!E8</f>
        <v>28501050</v>
      </c>
      <c r="F8" s="26">
        <v>31148000</v>
      </c>
      <c r="G8" s="26">
        <f>'EVOLUÇÃO DA RECEITA'!G8</f>
        <v>30404900</v>
      </c>
      <c r="H8" s="26">
        <f>'EVOLUÇÃO DA RECEITA'!H8</f>
        <v>31313600</v>
      </c>
    </row>
    <row r="9" spans="1:8" ht="12.75">
      <c r="A9" s="31" t="s">
        <v>89</v>
      </c>
      <c r="B9" s="26">
        <v>10558777.83</v>
      </c>
      <c r="C9" s="26">
        <v>43344658.25</v>
      </c>
      <c r="D9" s="26">
        <v>37276796.88</v>
      </c>
      <c r="E9" s="26">
        <v>27870050</v>
      </c>
      <c r="F9" s="26">
        <v>28520400</v>
      </c>
      <c r="G9" s="26">
        <v>29735700</v>
      </c>
      <c r="H9" s="26">
        <v>30624800</v>
      </c>
    </row>
    <row r="10" spans="1:8" ht="13.5" customHeight="1">
      <c r="A10" s="31" t="s">
        <v>9</v>
      </c>
      <c r="B10" s="26">
        <v>247903704.96</v>
      </c>
      <c r="C10" s="26">
        <v>278709502.14</v>
      </c>
      <c r="D10" s="26">
        <v>285079423.09</v>
      </c>
      <c r="E10" s="26">
        <f>'EVOLUÇÃO DA RECEITA'!E11-'EVOLUÇÃO DA RECEITA'!E20</f>
        <v>299093980</v>
      </c>
      <c r="F10" s="26">
        <f>'EVOLUÇÃO DA RECEITA'!F11-'EVOLUÇÃO DA RECEITA'!F20</f>
        <v>310045900</v>
      </c>
      <c r="G10" s="26">
        <f>'EVOLUÇÃO DA RECEITA'!G11-'EVOLUÇÃO DA RECEITA'!G20</f>
        <v>319181400</v>
      </c>
      <c r="H10" s="26">
        <f>'EVOLUÇÃO DA RECEITA'!H11-'EVOLUÇÃO DA RECEITA'!H20</f>
        <v>327903700</v>
      </c>
    </row>
    <row r="11" spans="1:256" s="2" customFormat="1" ht="12.75">
      <c r="A11" s="31" t="s">
        <v>90</v>
      </c>
      <c r="B11" s="26">
        <f aca="true" t="shared" si="2" ref="B11:H11">B12+B13</f>
        <v>27183599.64</v>
      </c>
      <c r="C11" s="26">
        <f t="shared" si="2"/>
        <v>28005664.54</v>
      </c>
      <c r="D11" s="26">
        <f t="shared" si="2"/>
        <v>36188261.16</v>
      </c>
      <c r="E11" s="26">
        <f t="shared" si="2"/>
        <v>15613100</v>
      </c>
      <c r="F11" s="26">
        <f t="shared" si="2"/>
        <v>15493500</v>
      </c>
      <c r="G11" s="26">
        <f t="shared" si="2"/>
        <v>16086600</v>
      </c>
      <c r="H11" s="26">
        <f t="shared" si="2"/>
        <v>16542800</v>
      </c>
      <c r="IV11"/>
    </row>
    <row r="12" spans="1:15" ht="12.75">
      <c r="A12" s="31" t="s">
        <v>91</v>
      </c>
      <c r="B12" s="26">
        <v>6422712.03</v>
      </c>
      <c r="C12" s="26">
        <v>8790850.02</v>
      </c>
      <c r="D12" s="26">
        <v>8234042.3</v>
      </c>
      <c r="E12" s="26">
        <v>0</v>
      </c>
      <c r="F12" s="26">
        <v>7725000</v>
      </c>
      <c r="G12" s="26">
        <v>8343000</v>
      </c>
      <c r="H12" s="26">
        <v>9010000</v>
      </c>
      <c r="I12"/>
      <c r="J12"/>
      <c r="K12"/>
      <c r="L12"/>
      <c r="M12"/>
      <c r="N12"/>
      <c r="O12"/>
    </row>
    <row r="13" spans="1:15" ht="12.75">
      <c r="A13" s="31" t="s">
        <v>92</v>
      </c>
      <c r="B13" s="26">
        <v>20760887.61</v>
      </c>
      <c r="C13" s="26">
        <v>19214814.52</v>
      </c>
      <c r="D13" s="26">
        <v>27954218.86</v>
      </c>
      <c r="E13" s="26">
        <f>'EVOLUÇÃO DA RECEITA'!E9+'EVOLUÇÃO DA RECEITA'!E10+'EVOLUÇÃO DA RECEITA'!E12-E12</f>
        <v>15613100</v>
      </c>
      <c r="F13" s="26">
        <f>'EVOLUÇÃO DA RECEITA'!F9+'EVOLUÇÃO DA RECEITA'!F10+'EVOLUÇÃO DA RECEITA'!F12-F12</f>
        <v>7768500</v>
      </c>
      <c r="G13" s="26">
        <f>'EVOLUÇÃO DA RECEITA'!G9+'EVOLUÇÃO DA RECEITA'!G10+'EVOLUÇÃO DA RECEITA'!G12-G12</f>
        <v>7743600</v>
      </c>
      <c r="H13" s="26">
        <f>'EVOLUÇÃO DA RECEITA'!H9+'EVOLUÇÃO DA RECEITA'!H10+'EVOLUÇÃO DA RECEITA'!H12-H12</f>
        <v>7532800</v>
      </c>
      <c r="I13"/>
      <c r="J13"/>
      <c r="K13"/>
      <c r="L13"/>
      <c r="M13"/>
      <c r="N13"/>
      <c r="O13"/>
    </row>
    <row r="14" spans="1:15" ht="12.75">
      <c r="A14" s="31" t="s">
        <v>180</v>
      </c>
      <c r="B14" s="26"/>
      <c r="C14" s="26"/>
      <c r="D14" s="26"/>
      <c r="E14" s="26">
        <v>189000</v>
      </c>
      <c r="F14" s="26"/>
      <c r="G14" s="26"/>
      <c r="H14" s="26"/>
      <c r="I14"/>
      <c r="J14"/>
      <c r="K14"/>
      <c r="L14"/>
      <c r="M14"/>
      <c r="N14"/>
      <c r="O14"/>
    </row>
    <row r="15" spans="1:15" ht="12.75">
      <c r="A15" s="29" t="s">
        <v>93</v>
      </c>
      <c r="B15" s="30">
        <f aca="true" t="shared" si="3" ref="B15:H15">B16+B17+B18+B19+B22</f>
        <v>9021486.98</v>
      </c>
      <c r="C15" s="30">
        <f t="shared" si="3"/>
        <v>9417175.459999999</v>
      </c>
      <c r="D15" s="30">
        <f t="shared" si="3"/>
        <v>7332131.890000001</v>
      </c>
      <c r="E15" s="30">
        <f t="shared" si="3"/>
        <v>54808200</v>
      </c>
      <c r="F15" s="30">
        <f t="shared" si="3"/>
        <v>38839450</v>
      </c>
      <c r="G15" s="30">
        <f t="shared" si="3"/>
        <v>1105000</v>
      </c>
      <c r="H15" s="30">
        <f t="shared" si="3"/>
        <v>1056000</v>
      </c>
      <c r="I15"/>
      <c r="J15"/>
      <c r="K15"/>
      <c r="L15"/>
      <c r="M15"/>
      <c r="N15"/>
      <c r="O15"/>
    </row>
    <row r="16" spans="1:8" ht="12.75">
      <c r="A16" s="31" t="s">
        <v>94</v>
      </c>
      <c r="B16" s="26">
        <v>1514988.68</v>
      </c>
      <c r="C16" s="26">
        <v>5051581.95</v>
      </c>
      <c r="D16" s="26">
        <v>4391904.61</v>
      </c>
      <c r="E16" s="26">
        <f>'EVOLUÇÃO DA RECEITA'!E15</f>
        <v>11600000</v>
      </c>
      <c r="F16" s="26">
        <f>'EVOLUÇÃO DA RECEITA'!F15</f>
        <v>0</v>
      </c>
      <c r="G16" s="26">
        <f>'EVOLUÇÃO DA RECEITA'!G15</f>
        <v>0</v>
      </c>
      <c r="H16" s="26">
        <f>'EVOLUÇÃO DA RECEITA'!H15</f>
        <v>0</v>
      </c>
    </row>
    <row r="17" spans="1:8" ht="12.75">
      <c r="A17" s="31" t="s">
        <v>95</v>
      </c>
      <c r="B17" s="26">
        <v>32654.88</v>
      </c>
      <c r="C17" s="26">
        <v>33467.89</v>
      </c>
      <c r="D17" s="26">
        <v>20791.99</v>
      </c>
      <c r="E17" s="26">
        <f>'EVOLUÇÃO DA RECEITA'!E17</f>
        <v>37000</v>
      </c>
      <c r="F17" s="26">
        <f>'EVOLUÇÃO DA RECEITA'!F17</f>
        <v>38000</v>
      </c>
      <c r="G17" s="26">
        <f>'EVOLUÇÃO DA RECEITA'!G17</f>
        <v>40000</v>
      </c>
      <c r="H17" s="26">
        <f>'EVOLUÇÃO DA RECEITA'!H17</f>
        <v>41000</v>
      </c>
    </row>
    <row r="18" spans="1:8" ht="12.75">
      <c r="A18" s="31" t="s">
        <v>96</v>
      </c>
      <c r="B18" s="26">
        <v>192647.72</v>
      </c>
      <c r="C18" s="26">
        <v>170880.34</v>
      </c>
      <c r="D18" s="26">
        <v>124561.46</v>
      </c>
      <c r="E18" s="26">
        <f>'EVOLUÇÃO DA RECEITA'!E16-1560000</f>
        <v>1600000</v>
      </c>
      <c r="F18" s="26">
        <f>'EVOLUÇÃO DA RECEITA'!F16-1627000</f>
        <v>497300</v>
      </c>
      <c r="G18" s="26">
        <f>'EVOLUÇÃO DA RECEITA'!G16-1675000</f>
        <v>565000</v>
      </c>
      <c r="H18" s="26">
        <f>'EVOLUÇÃO DA RECEITA'!H16-1725000</f>
        <v>515000</v>
      </c>
    </row>
    <row r="19" spans="1:8" ht="12.75">
      <c r="A19" s="31" t="s">
        <v>97</v>
      </c>
      <c r="B19" s="26">
        <f aca="true" t="shared" si="4" ref="B19:H19">B20+B21</f>
        <v>7278828.03</v>
      </c>
      <c r="C19" s="26">
        <f t="shared" si="4"/>
        <v>4159340.83</v>
      </c>
      <c r="D19" s="26">
        <f t="shared" si="4"/>
        <v>2792795.9899999998</v>
      </c>
      <c r="E19" s="26">
        <f t="shared" si="4"/>
        <v>41571200</v>
      </c>
      <c r="F19" s="26">
        <f t="shared" si="4"/>
        <v>38304150</v>
      </c>
      <c r="G19" s="26">
        <f t="shared" si="4"/>
        <v>500000</v>
      </c>
      <c r="H19" s="26">
        <f t="shared" si="4"/>
        <v>500000</v>
      </c>
    </row>
    <row r="20" spans="1:8" ht="15" customHeight="1">
      <c r="A20" s="31" t="s">
        <v>98</v>
      </c>
      <c r="B20" s="26">
        <v>86666.66</v>
      </c>
      <c r="C20" s="26">
        <v>765050</v>
      </c>
      <c r="D20" s="26">
        <v>172473.84</v>
      </c>
      <c r="E20" s="26">
        <v>7721700</v>
      </c>
      <c r="F20" s="26">
        <v>0</v>
      </c>
      <c r="G20" s="26">
        <v>0</v>
      </c>
      <c r="H20" s="26">
        <v>0</v>
      </c>
    </row>
    <row r="21" spans="1:8" ht="12.75">
      <c r="A21" s="31" t="s">
        <v>99</v>
      </c>
      <c r="B21" s="26">
        <v>7192161.37</v>
      </c>
      <c r="C21" s="26">
        <v>3394290.83</v>
      </c>
      <c r="D21" s="26">
        <v>2620322.15</v>
      </c>
      <c r="E21" s="26">
        <f>'EVOLUÇÃO DA RECEITA'!E18-E20</f>
        <v>33849500</v>
      </c>
      <c r="F21" s="26">
        <f>'EVOLUÇÃO DA RECEITA'!F18-F20</f>
        <v>38304150</v>
      </c>
      <c r="G21" s="26">
        <f>'EVOLUÇÃO DA RECEITA'!G18-G20</f>
        <v>500000</v>
      </c>
      <c r="H21" s="26">
        <f>'EVOLUÇÃO DA RECEITA'!H18-H20</f>
        <v>500000</v>
      </c>
    </row>
    <row r="22" spans="1:8" ht="12.75">
      <c r="A22" s="31" t="s">
        <v>100</v>
      </c>
      <c r="B22" s="26">
        <v>2367.67</v>
      </c>
      <c r="C22" s="26">
        <v>1904.45</v>
      </c>
      <c r="D22" s="26">
        <v>2077.84</v>
      </c>
      <c r="E22" s="26">
        <v>0</v>
      </c>
      <c r="F22" s="26">
        <v>0</v>
      </c>
      <c r="G22" s="26">
        <v>0</v>
      </c>
      <c r="H22" s="26">
        <v>0</v>
      </c>
    </row>
    <row r="23" spans="1:8" ht="12.75">
      <c r="A23" s="31"/>
      <c r="B23" s="26"/>
      <c r="C23" s="26"/>
      <c r="D23" s="26"/>
      <c r="E23" s="26"/>
      <c r="F23" s="26"/>
      <c r="G23" s="26"/>
      <c r="H23" s="26"/>
    </row>
    <row r="24" spans="1:8" ht="12.75">
      <c r="A24" s="29" t="s">
        <v>182</v>
      </c>
      <c r="B24" s="30">
        <f>B15-B16-B17-B18</f>
        <v>7281195.700000001</v>
      </c>
      <c r="C24" s="30">
        <f>C15-C16-C17-C18</f>
        <v>4161245.2799999993</v>
      </c>
      <c r="D24" s="30">
        <f>D15-D16-D17-D18</f>
        <v>2794873.83</v>
      </c>
      <c r="E24" s="30">
        <f>E15-E16-E17</f>
        <v>43171200</v>
      </c>
      <c r="F24" s="30">
        <f>F15-F16-F17</f>
        <v>38801450</v>
      </c>
      <c r="G24" s="30">
        <f>G15-G16-G17</f>
        <v>1065000</v>
      </c>
      <c r="H24" s="30">
        <f>H15-H16-H17</f>
        <v>1015000</v>
      </c>
    </row>
    <row r="25" spans="1:256" s="2" customFormat="1" ht="18" customHeight="1">
      <c r="A25" s="67" t="s">
        <v>165</v>
      </c>
      <c r="B25" s="68">
        <f aca="true" t="shared" si="5" ref="B25:H25">B2+B24</f>
        <v>527927853.4</v>
      </c>
      <c r="C25" s="68">
        <f t="shared" si="5"/>
        <v>556944745.91</v>
      </c>
      <c r="D25" s="68">
        <f t="shared" si="5"/>
        <v>602112151.91</v>
      </c>
      <c r="E25" s="68">
        <f t="shared" si="5"/>
        <v>587233450</v>
      </c>
      <c r="F25" s="68">
        <f t="shared" si="5"/>
        <v>603278400</v>
      </c>
      <c r="G25" s="68">
        <f t="shared" si="5"/>
        <v>581277500</v>
      </c>
      <c r="H25" s="68">
        <f t="shared" si="5"/>
        <v>597539000</v>
      </c>
      <c r="IV25"/>
    </row>
    <row r="26" spans="1:8" ht="12.75">
      <c r="A26" s="29" t="s">
        <v>101</v>
      </c>
      <c r="B26" s="30">
        <f aca="true" t="shared" si="6" ref="B26:H26">B27+B29+B30</f>
        <v>490473113.03000003</v>
      </c>
      <c r="C26" s="30">
        <f t="shared" si="6"/>
        <v>547769357.4</v>
      </c>
      <c r="D26" s="30">
        <f t="shared" si="6"/>
        <v>589590480.1</v>
      </c>
      <c r="E26" s="30">
        <f>E27+E29+E30</f>
        <v>511927000</v>
      </c>
      <c r="F26" s="30">
        <f t="shared" si="6"/>
        <v>519411849</v>
      </c>
      <c r="G26" s="30">
        <f t="shared" si="6"/>
        <v>526175840.47</v>
      </c>
      <c r="H26" s="30">
        <f t="shared" si="6"/>
        <v>541887619.6841</v>
      </c>
    </row>
    <row r="27" spans="1:8" ht="12.75">
      <c r="A27" s="31" t="s">
        <v>102</v>
      </c>
      <c r="B27" s="26">
        <f>'VARIAÇÃO DA DESPESA'!B4</f>
        <v>335675671.86</v>
      </c>
      <c r="C27" s="26">
        <f>'VARIAÇÃO DA DESPESA'!B5</f>
        <v>379410383.53</v>
      </c>
      <c r="D27" s="26">
        <f>'VARIAÇÃO DA DESPESA'!B6</f>
        <v>422891527.27</v>
      </c>
      <c r="E27" s="26">
        <f>'VARIAÇÃO DA DESPESA'!B7-E28</f>
        <v>358677982</v>
      </c>
      <c r="F27" s="26">
        <f>'VARIAÇÃO DA DESPESA'!B8-F28</f>
        <v>361159736.46000004</v>
      </c>
      <c r="G27" s="26">
        <f>'VARIAÇÃO DA DESPESA'!B9-G28</f>
        <v>363095164.55380005</v>
      </c>
      <c r="H27" s="26">
        <f>'VARIAÇÃO DA DESPESA'!B10-H28</f>
        <v>373988023.4904141</v>
      </c>
    </row>
    <row r="28" spans="1:8" ht="12.75">
      <c r="A28" s="31" t="s">
        <v>181</v>
      </c>
      <c r="B28" s="26"/>
      <c r="C28" s="26"/>
      <c r="D28" s="26"/>
      <c r="E28" s="26">
        <v>73070500</v>
      </c>
      <c r="F28" s="26">
        <f>F5</f>
        <v>83541200</v>
      </c>
      <c r="G28" s="26">
        <f>G5</f>
        <v>94946800</v>
      </c>
      <c r="H28" s="26">
        <f>H5</f>
        <v>97795200</v>
      </c>
    </row>
    <row r="29" spans="1:8" ht="12.75">
      <c r="A29" s="31" t="s">
        <v>103</v>
      </c>
      <c r="B29" s="26">
        <f>'VARIAÇÃO DA DESPESA'!B21</f>
        <v>4447111.8</v>
      </c>
      <c r="C29" s="26">
        <f>'VARIAÇÃO DA DESPESA'!B22</f>
        <v>3152510.67</v>
      </c>
      <c r="D29" s="26">
        <f>'VARIAÇÃO DA DESPESA'!B23</f>
        <v>1990196.29</v>
      </c>
      <c r="E29" s="26">
        <f>'VARIAÇÃO DA DESPESA'!B24</f>
        <v>2000000</v>
      </c>
      <c r="F29" s="26">
        <f>'VARIAÇÃO DA DESPESA'!B25</f>
        <v>2300000</v>
      </c>
      <c r="G29" s="26">
        <f>'VARIAÇÃO DA DESPESA'!B26</f>
        <v>2450000</v>
      </c>
      <c r="H29" s="26">
        <f>'VARIAÇÃO DA DESPESA'!B27</f>
        <v>2450000</v>
      </c>
    </row>
    <row r="30" spans="1:8" ht="12.75">
      <c r="A30" s="31" t="s">
        <v>104</v>
      </c>
      <c r="B30" s="26">
        <f>'VARIAÇÃO DA DESPESA'!B38</f>
        <v>150350329.37</v>
      </c>
      <c r="C30" s="26">
        <f>'VARIAÇÃO DA DESPESA'!B39</f>
        <v>165206463.2</v>
      </c>
      <c r="D30" s="26">
        <f>'VARIAÇÃO DA DESPESA'!B40</f>
        <v>164708756.54</v>
      </c>
      <c r="E30" s="26">
        <f>'VARIAÇÃO DA DESPESA'!B41-E31</f>
        <v>151249018</v>
      </c>
      <c r="F30" s="26">
        <f>'VARIAÇÃO DA DESPESA'!B42</f>
        <v>155952112.54</v>
      </c>
      <c r="G30" s="26">
        <f>'VARIAÇÃO DA DESPESA'!B43</f>
        <v>160630675.91619998</v>
      </c>
      <c r="H30" s="26">
        <f>'VARIAÇÃO DA DESPESA'!B44</f>
        <v>165449596.19368598</v>
      </c>
    </row>
    <row r="31" spans="1:8" ht="12.75">
      <c r="A31" s="31" t="s">
        <v>183</v>
      </c>
      <c r="B31" s="26"/>
      <c r="C31" s="26"/>
      <c r="D31" s="26"/>
      <c r="E31" s="26">
        <v>160800</v>
      </c>
      <c r="F31" s="26"/>
      <c r="G31" s="26"/>
      <c r="H31" s="26"/>
    </row>
    <row r="32" spans="1:8" ht="12.75">
      <c r="A32" s="29" t="s">
        <v>105</v>
      </c>
      <c r="B32" s="30">
        <f>B26-B29</f>
        <v>486026001.23</v>
      </c>
      <c r="C32" s="30">
        <f aca="true" t="shared" si="7" ref="C32:H32">C26-C29</f>
        <v>544616846.73</v>
      </c>
      <c r="D32" s="30">
        <f>D26-D29</f>
        <v>587600283.8100001</v>
      </c>
      <c r="E32" s="30">
        <f t="shared" si="7"/>
        <v>509927000</v>
      </c>
      <c r="F32" s="30">
        <f t="shared" si="7"/>
        <v>517111849</v>
      </c>
      <c r="G32" s="30">
        <f t="shared" si="7"/>
        <v>523725840.47</v>
      </c>
      <c r="H32" s="30">
        <f t="shared" si="7"/>
        <v>539437619.6841</v>
      </c>
    </row>
    <row r="33" spans="1:8" ht="12.75">
      <c r="A33" s="29" t="s">
        <v>106</v>
      </c>
      <c r="B33" s="30">
        <f aca="true" t="shared" si="8" ref="B33:H33">B34+B35+B39</f>
        <v>24003626.200000003</v>
      </c>
      <c r="C33" s="30">
        <f t="shared" si="8"/>
        <v>38825028.519999996</v>
      </c>
      <c r="D33" s="30">
        <f>D34+D35+D39</f>
        <v>35539459.61</v>
      </c>
      <c r="E33" s="30">
        <f t="shared" si="8"/>
        <v>98970700</v>
      </c>
      <c r="F33" s="30">
        <f t="shared" si="8"/>
        <v>94096950.99999997</v>
      </c>
      <c r="G33" s="30">
        <f t="shared" si="8"/>
        <v>68036859.52999997</v>
      </c>
      <c r="H33" s="30">
        <f t="shared" si="8"/>
        <v>68971465.31589994</v>
      </c>
    </row>
    <row r="34" spans="1:8" ht="12.75">
      <c r="A34" s="31" t="s">
        <v>107</v>
      </c>
      <c r="B34" s="26">
        <f>'VARIAÇÃO DA DESPESA'!B55</f>
        <v>11441287.9</v>
      </c>
      <c r="C34" s="26">
        <f>'VARIAÇÃO DA DESPESA'!B56</f>
        <v>17068954.63</v>
      </c>
      <c r="D34" s="26">
        <f>'VARIAÇÃO DA DESPESA'!B57</f>
        <v>10096263.52</v>
      </c>
      <c r="E34" s="26">
        <f>'VARIAÇÃO DA DESPESA'!B58</f>
        <v>73421200</v>
      </c>
      <c r="F34" s="26">
        <f>'VARIAÇÃO DA DESPESA'!B59</f>
        <v>68358950.99999997</v>
      </c>
      <c r="G34" s="26">
        <f>'VARIAÇÃO DA DESPESA'!B60</f>
        <v>40446859.52999997</v>
      </c>
      <c r="H34" s="26">
        <f>'VARIAÇÃO DA DESPESA'!B61</f>
        <v>41380465.31589994</v>
      </c>
    </row>
    <row r="35" spans="1:256" s="2" customFormat="1" ht="15" customHeight="1">
      <c r="A35" s="31" t="s">
        <v>108</v>
      </c>
      <c r="B35" s="26">
        <f aca="true" t="shared" si="9" ref="B35:H35">B36+B37+B38</f>
        <v>34460.24</v>
      </c>
      <c r="C35" s="26">
        <f t="shared" si="9"/>
        <v>31561.88</v>
      </c>
      <c r="D35" s="26">
        <f t="shared" si="9"/>
        <v>7347.82</v>
      </c>
      <c r="E35" s="26">
        <f t="shared" si="9"/>
        <v>44500</v>
      </c>
      <c r="F35" s="26">
        <f t="shared" si="9"/>
        <v>38000</v>
      </c>
      <c r="G35" s="26">
        <f t="shared" si="9"/>
        <v>40000</v>
      </c>
      <c r="H35" s="26">
        <f t="shared" si="9"/>
        <v>41000</v>
      </c>
      <c r="IV35"/>
    </row>
    <row r="36" spans="1:256" s="2" customFormat="1" ht="12.75">
      <c r="A36" s="31" t="s">
        <v>109</v>
      </c>
      <c r="B36" s="26">
        <f>'VARIAÇÃO DA DESPESA'!B71</f>
        <v>34460.24</v>
      </c>
      <c r="C36" s="26">
        <f>'VARIAÇÃO DA DESPESA'!B72</f>
        <v>31561.88</v>
      </c>
      <c r="D36" s="26">
        <f>'VARIAÇÃO DA DESPESA'!B73</f>
        <v>7347.82</v>
      </c>
      <c r="E36" s="26">
        <f>'VARIAÇÃO DA DESPESA'!B74</f>
        <v>44500</v>
      </c>
      <c r="F36" s="26">
        <f>'VARIAÇÃO DA DESPESA'!B75</f>
        <v>38000</v>
      </c>
      <c r="G36" s="26">
        <f>'VARIAÇÃO DA DESPESA'!B76</f>
        <v>40000</v>
      </c>
      <c r="H36" s="26">
        <f>'VARIAÇÃO DA DESPESA'!B77</f>
        <v>41000</v>
      </c>
      <c r="IV36"/>
    </row>
    <row r="37" spans="1:256" s="2" customFormat="1" ht="14.25" customHeight="1">
      <c r="A37" s="31" t="s">
        <v>110</v>
      </c>
      <c r="B37" s="26">
        <v>0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V37"/>
    </row>
    <row r="38" spans="1:8" ht="12.75">
      <c r="A38" s="31" t="s">
        <v>111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1:8" ht="12.75">
      <c r="A39" s="31" t="s">
        <v>112</v>
      </c>
      <c r="B39" s="26">
        <f>'VARIAÇÃO DA DESPESA'!B88</f>
        <v>12527878.06</v>
      </c>
      <c r="C39" s="26">
        <f>'VARIAÇÃO DA DESPESA'!B89</f>
        <v>21724512.01</v>
      </c>
      <c r="D39" s="26">
        <f>'VARIAÇÃO DA DESPESA'!B90</f>
        <v>25435848.27</v>
      </c>
      <c r="E39" s="26">
        <f>'VARIAÇÃO DA DESPESA'!B91</f>
        <v>25505000</v>
      </c>
      <c r="F39" s="26">
        <f>'VARIAÇÃO DA DESPESA'!B92</f>
        <v>25700000</v>
      </c>
      <c r="G39" s="26">
        <f>'VARIAÇÃO DA DESPESA'!B93</f>
        <v>27550000</v>
      </c>
      <c r="H39" s="26">
        <f>'VARIAÇÃO DA DESPESA'!B94</f>
        <v>27550000</v>
      </c>
    </row>
    <row r="40" spans="1:8" ht="16.5" customHeight="1">
      <c r="A40" s="29" t="s">
        <v>113</v>
      </c>
      <c r="B40" s="30">
        <f>B33-B36-B37-B39</f>
        <v>11441287.900000004</v>
      </c>
      <c r="C40" s="30">
        <f aca="true" t="shared" si="10" ref="C40:H40">C33-C36-C37-C39</f>
        <v>17068954.62999999</v>
      </c>
      <c r="D40" s="30">
        <f>D33-D36-D37-D39</f>
        <v>10096263.52</v>
      </c>
      <c r="E40" s="30">
        <f t="shared" si="10"/>
        <v>73421200</v>
      </c>
      <c r="F40" s="30">
        <f>F33-F36-F37-F39</f>
        <v>68358950.99999997</v>
      </c>
      <c r="G40" s="30">
        <f t="shared" si="10"/>
        <v>40446859.52999997</v>
      </c>
      <c r="H40" s="30">
        <f t="shared" si="10"/>
        <v>41380465.31589994</v>
      </c>
    </row>
    <row r="41" spans="1:256" s="2" customFormat="1" ht="12.75">
      <c r="A41" s="29" t="s">
        <v>114</v>
      </c>
      <c r="B41" s="30">
        <v>0</v>
      </c>
      <c r="C41" s="30">
        <v>0</v>
      </c>
      <c r="D41" s="30">
        <v>0</v>
      </c>
      <c r="E41" s="30">
        <f>'VARIAÇÃO DA DESPESA'!B108-463600</f>
        <v>15407400</v>
      </c>
      <c r="F41" s="30">
        <f>'VARIAÇÃO DA DESPESA'!B109</f>
        <v>16350000</v>
      </c>
      <c r="G41" s="30">
        <f>'VARIAÇÃO DA DESPESA'!B110</f>
        <v>16840500</v>
      </c>
      <c r="H41" s="30">
        <f>'VARIAÇÃO DA DESPESA'!B111</f>
        <v>17345715</v>
      </c>
      <c r="IV41"/>
    </row>
    <row r="42" spans="1:256" s="2" customFormat="1" ht="13.5" customHeight="1" hidden="1">
      <c r="A42" s="29" t="s">
        <v>162</v>
      </c>
      <c r="B42" s="30">
        <v>572584.71</v>
      </c>
      <c r="C42" s="30"/>
      <c r="D42" s="30">
        <v>1225326.96</v>
      </c>
      <c r="E42" s="30"/>
      <c r="F42" s="30"/>
      <c r="G42" s="30"/>
      <c r="H42" s="30"/>
      <c r="IV42"/>
    </row>
    <row r="43" spans="1:256" s="2" customFormat="1" ht="17.25" customHeight="1">
      <c r="A43" s="67" t="s">
        <v>163</v>
      </c>
      <c r="B43" s="68">
        <f>B32+B40+B41</f>
        <v>497467289.13</v>
      </c>
      <c r="C43" s="68">
        <f>C32+C40+C41+C42</f>
        <v>561685801.36</v>
      </c>
      <c r="D43" s="68">
        <f>D32+D40+D41</f>
        <v>597696547.33</v>
      </c>
      <c r="E43" s="68">
        <f>E32+E40+E41+E42</f>
        <v>598755600</v>
      </c>
      <c r="F43" s="68">
        <f>F32+F40+F41+F42</f>
        <v>601820800</v>
      </c>
      <c r="G43" s="68">
        <f>G32+G40+G41+G42</f>
        <v>581013200</v>
      </c>
      <c r="H43" s="68">
        <f>H32+H40+H41+H42</f>
        <v>598163800</v>
      </c>
      <c r="IV43"/>
    </row>
    <row r="44" spans="1:8" ht="12.75">
      <c r="A44" s="75"/>
      <c r="B44" s="76"/>
      <c r="C44" s="76"/>
      <c r="D44" s="76"/>
      <c r="E44" s="76"/>
      <c r="F44" s="76"/>
      <c r="G44" s="76"/>
      <c r="H44" s="77"/>
    </row>
    <row r="45" spans="1:8" ht="12.75">
      <c r="A45" s="67" t="s">
        <v>164</v>
      </c>
      <c r="B45" s="68">
        <f aca="true" t="shared" si="11" ref="B45:H45">B25-B43</f>
        <v>30460564.26999998</v>
      </c>
      <c r="C45" s="68">
        <f t="shared" si="11"/>
        <v>-4741055.450000048</v>
      </c>
      <c r="D45" s="68">
        <f>D25-D43</f>
        <v>4415604.579999924</v>
      </c>
      <c r="E45" s="68">
        <f>E25-E43</f>
        <v>-11522150</v>
      </c>
      <c r="F45" s="68">
        <f t="shared" si="11"/>
        <v>1457600</v>
      </c>
      <c r="G45" s="68">
        <f t="shared" si="11"/>
        <v>264300</v>
      </c>
      <c r="H45" s="68">
        <f t="shared" si="11"/>
        <v>-624800</v>
      </c>
    </row>
    <row r="46" spans="1:8" ht="12.75">
      <c r="A46" s="78"/>
      <c r="B46" s="78"/>
      <c r="C46" s="78"/>
      <c r="D46" s="78"/>
      <c r="E46" s="79"/>
      <c r="F46" s="78"/>
      <c r="G46" s="78"/>
      <c r="H46" s="78"/>
    </row>
    <row r="47" spans="1:8" ht="12.75">
      <c r="A47" s="67" t="s">
        <v>198</v>
      </c>
      <c r="B47" s="68">
        <f>B25-B43</f>
        <v>30460564.26999998</v>
      </c>
      <c r="C47" s="68">
        <f aca="true" t="shared" si="12" ref="C47:H47">C25-C43</f>
        <v>-4741055.450000048</v>
      </c>
      <c r="D47" s="68">
        <f t="shared" si="12"/>
        <v>4415604.579999924</v>
      </c>
      <c r="E47" s="68">
        <f t="shared" si="12"/>
        <v>-11522150</v>
      </c>
      <c r="F47" s="68">
        <f t="shared" si="12"/>
        <v>1457600</v>
      </c>
      <c r="G47" s="68">
        <f t="shared" si="12"/>
        <v>264300</v>
      </c>
      <c r="H47" s="68">
        <f t="shared" si="12"/>
        <v>-624800</v>
      </c>
    </row>
    <row r="48" spans="1:6" ht="12.75">
      <c r="A48" s="78" t="s">
        <v>153</v>
      </c>
      <c r="E48" s="17"/>
      <c r="F48" s="17"/>
    </row>
    <row r="49" ht="12.75">
      <c r="F49" s="17"/>
    </row>
    <row r="50" spans="1:256" s="2" customFormat="1" ht="12.75">
      <c r="A50" s="1"/>
      <c r="B50" s="1"/>
      <c r="C50" s="1"/>
      <c r="D50" s="1"/>
      <c r="E50" s="1"/>
      <c r="F50" s="18"/>
      <c r="G50" s="1"/>
      <c r="H50" s="1"/>
      <c r="IV50"/>
    </row>
    <row r="51" spans="1:256" s="2" customFormat="1" ht="12.75">
      <c r="A51" s="1"/>
      <c r="B51" s="1"/>
      <c r="C51" s="1"/>
      <c r="D51" s="1"/>
      <c r="E51" s="1"/>
      <c r="F51" s="17"/>
      <c r="G51" s="1"/>
      <c r="H51" s="1"/>
      <c r="IV51"/>
    </row>
    <row r="52" spans="1:256" s="2" customFormat="1" ht="12.75">
      <c r="A52" s="1"/>
      <c r="B52" s="1"/>
      <c r="C52" s="1"/>
      <c r="D52" s="1"/>
      <c r="E52" s="1"/>
      <c r="F52" s="1"/>
      <c r="G52" s="1"/>
      <c r="H52" s="1"/>
      <c r="IV52"/>
    </row>
    <row r="54" spans="1:256" s="2" customFormat="1" ht="18" customHeight="1">
      <c r="A54" s="1"/>
      <c r="B54" s="1"/>
      <c r="C54" s="1"/>
      <c r="D54" s="1"/>
      <c r="E54" s="1"/>
      <c r="F54" s="1"/>
      <c r="G54" s="1"/>
      <c r="H54" s="1"/>
      <c r="IV54"/>
    </row>
  </sheetData>
  <sheetProtection/>
  <printOptions horizontalCentered="1"/>
  <pageMargins left="0.3937007874015748" right="0.3937007874015748" top="1.7716535433070868" bottom="0.4330708661417323" header="0.5118110236220472" footer="0.5118110236220472"/>
  <pageSetup horizontalDpi="600" verticalDpi="600" orientation="landscape" paperSize="9" r:id="rId1"/>
  <headerFooter alignWithMargins="0">
    <oddHeader>&amp;CMEMÓRIA E METODOLOGIA III        
Prefeitura Municipal de Santa Maria       
Lei de Diretrizes Orçamentárias       
Memória e Metodologia de Cálculo       
METAS ANUAIS PARA O RESULTADO PRIMÁRIO       
2019      
</oddHeader>
  </headerFooter>
  <rowBreaks count="1" manualBreakCount="1">
    <brk id="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30" sqref="A30:H30"/>
    </sheetView>
  </sheetViews>
  <sheetFormatPr defaultColWidth="11.140625" defaultRowHeight="12.75"/>
  <cols>
    <col min="1" max="1" width="32.8515625" style="1" customWidth="1"/>
    <col min="2" max="2" width="12.8515625" style="1" customWidth="1"/>
    <col min="3" max="3" width="13.00390625" style="1" customWidth="1"/>
    <col min="4" max="4" width="14.140625" style="1" customWidth="1"/>
    <col min="5" max="5" width="13.00390625" style="1" customWidth="1"/>
    <col min="6" max="6" width="12.57421875" style="1" customWidth="1"/>
    <col min="7" max="7" width="13.140625" style="1" customWidth="1"/>
    <col min="8" max="8" width="12.28125" style="1" bestFit="1" customWidth="1"/>
    <col min="9" max="16384" width="11.140625" style="1" customWidth="1"/>
  </cols>
  <sheetData>
    <row r="1" spans="1:8" ht="12.75">
      <c r="A1" s="108" t="s">
        <v>52</v>
      </c>
      <c r="B1" s="65">
        <v>2015</v>
      </c>
      <c r="C1" s="65">
        <v>2016</v>
      </c>
      <c r="D1" s="65">
        <v>2017</v>
      </c>
      <c r="E1" s="65">
        <v>2018</v>
      </c>
      <c r="F1" s="65">
        <v>2019</v>
      </c>
      <c r="G1" s="65">
        <v>2021</v>
      </c>
      <c r="H1" s="65">
        <v>2021</v>
      </c>
    </row>
    <row r="2" spans="1:8" ht="12.75">
      <c r="A2" s="108"/>
      <c r="B2" s="65" t="s">
        <v>115</v>
      </c>
      <c r="C2" s="65" t="s">
        <v>116</v>
      </c>
      <c r="D2" s="65" t="s">
        <v>117</v>
      </c>
      <c r="E2" s="65" t="s">
        <v>118</v>
      </c>
      <c r="F2" s="65" t="s">
        <v>119</v>
      </c>
      <c r="G2" s="65" t="s">
        <v>120</v>
      </c>
      <c r="H2" s="65" t="s">
        <v>121</v>
      </c>
    </row>
    <row r="3" spans="1:8" ht="18" customHeight="1">
      <c r="A3" s="29" t="s">
        <v>122</v>
      </c>
      <c r="B3" s="26">
        <f>'MONTANTE DA DÍVIDA PÚBLICA'!B2</f>
        <v>140002465.16</v>
      </c>
      <c r="C3" s="26">
        <f>'MONTANTE DA DÍVIDA PÚBLICA'!C2</f>
        <v>115940110.63</v>
      </c>
      <c r="D3" s="26">
        <f>'MONTANTE DA DÍVIDA PÚBLICA'!D2</f>
        <v>141933572.9</v>
      </c>
      <c r="E3" s="26">
        <f>'MONTANTE DA DÍVIDA PÚBLICA'!E2</f>
        <v>127000000</v>
      </c>
      <c r="F3" s="26">
        <f>'MONTANTE DA DÍVIDA PÚBLICA'!F2</f>
        <v>120000000</v>
      </c>
      <c r="G3" s="26">
        <f>'MONTANTE DA DÍVIDA PÚBLICA'!G2</f>
        <v>110000000</v>
      </c>
      <c r="H3" s="26">
        <f>'MONTANTE DA DÍVIDA PÚBLICA'!H2</f>
        <v>100000000</v>
      </c>
    </row>
    <row r="4" spans="1:8" ht="18" customHeight="1">
      <c r="A4" s="29" t="s">
        <v>58</v>
      </c>
      <c r="B4" s="26">
        <f>B5+B6-B7+B8</f>
        <v>202347617.66</v>
      </c>
      <c r="C4" s="26">
        <f>C5+C6-C7+C8</f>
        <v>189763307.23</v>
      </c>
      <c r="D4" s="26">
        <f>D5+D6-D7</f>
        <v>78739805.74</v>
      </c>
      <c r="E4" s="26">
        <f>E5+E6-E7</f>
        <v>78500000</v>
      </c>
      <c r="F4" s="26">
        <f>F5+F6-F7</f>
        <v>83000000</v>
      </c>
      <c r="G4" s="26">
        <f>G5+G6-G7</f>
        <v>77000000</v>
      </c>
      <c r="H4" s="26">
        <f>H5+H6-H7</f>
        <v>79000000</v>
      </c>
    </row>
    <row r="5" spans="1:8" ht="18" customHeight="1">
      <c r="A5" s="31" t="s">
        <v>123</v>
      </c>
      <c r="B5" s="26">
        <f>'MONTANTE DA DÍVIDA PÚBLICA'!B6</f>
        <v>203326694.95</v>
      </c>
      <c r="C5" s="26">
        <f>'MONTANTE DA DÍVIDA PÚBLICA'!C6</f>
        <v>191079968.13</v>
      </c>
      <c r="D5" s="26">
        <f>'MONTANTE DA DÍVIDA PÚBLICA'!D6</f>
        <v>80108551.86</v>
      </c>
      <c r="E5" s="26">
        <f>'MONTANTE DA DÍVIDA PÚBLICA'!E6</f>
        <v>80000000</v>
      </c>
      <c r="F5" s="26">
        <f>'MONTANTE DA DÍVIDA PÚBLICA'!F6</f>
        <v>85000000</v>
      </c>
      <c r="G5" s="26">
        <f>'MONTANTE DA DÍVIDA PÚBLICA'!G6</f>
        <v>80000000</v>
      </c>
      <c r="H5" s="26">
        <f>'MONTANTE DA DÍVIDA PÚBLICA'!H6</f>
        <v>80000000</v>
      </c>
    </row>
    <row r="6" spans="1:8" ht="18" customHeight="1">
      <c r="A6" s="31" t="s">
        <v>124</v>
      </c>
      <c r="B6" s="26">
        <f>'MONTANTE DA DÍVIDA PÚBLICA'!B7</f>
        <v>0</v>
      </c>
      <c r="C6" s="26">
        <f>'MONTANTE DA DÍVIDA PÚBLICA'!C7</f>
        <v>0</v>
      </c>
      <c r="D6" s="26">
        <f>'MONTANTE DA DÍVIDA PÚBLICA'!D7</f>
        <v>0</v>
      </c>
      <c r="E6" s="26">
        <f>'MONTANTE DA DÍVIDA PÚBLICA'!E7</f>
        <v>0</v>
      </c>
      <c r="F6" s="26">
        <f>'MONTANTE DA DÍVIDA PÚBLICA'!F7</f>
        <v>0</v>
      </c>
      <c r="G6" s="26">
        <f>'MONTANTE DA DÍVIDA PÚBLICA'!G7</f>
        <v>0</v>
      </c>
      <c r="H6" s="26">
        <f>'MONTANTE DA DÍVIDA PÚBLICA'!H7</f>
        <v>0</v>
      </c>
    </row>
    <row r="7" spans="1:8" ht="18" customHeight="1">
      <c r="A7" s="31" t="s">
        <v>125</v>
      </c>
      <c r="B7" s="26">
        <f>'MONTANTE DA DÍVIDA PÚBLICA'!B8</f>
        <v>979077.29</v>
      </c>
      <c r="C7" s="26">
        <f>'MONTANTE DA DÍVIDA PÚBLICA'!C8</f>
        <v>1316660.9</v>
      </c>
      <c r="D7" s="26">
        <f>'MONTANTE DA DÍVIDA PÚBLICA'!D8</f>
        <v>1368746.12</v>
      </c>
      <c r="E7" s="26">
        <f>'MONTANTE DA DÍVIDA PÚBLICA'!E8</f>
        <v>1500000</v>
      </c>
      <c r="F7" s="26">
        <f>'MONTANTE DA DÍVIDA PÚBLICA'!F8</f>
        <v>2000000</v>
      </c>
      <c r="G7" s="26">
        <f>'MONTANTE DA DÍVIDA PÚBLICA'!G8</f>
        <v>3000000</v>
      </c>
      <c r="H7" s="26">
        <f>'MONTANTE DA DÍVIDA PÚBLICA'!H8</f>
        <v>1000000</v>
      </c>
    </row>
    <row r="8" spans="1:8" ht="18" customHeight="1">
      <c r="A8" s="29" t="s">
        <v>126</v>
      </c>
      <c r="B8" s="26"/>
      <c r="C8" s="26"/>
      <c r="D8" s="26"/>
      <c r="E8" s="26"/>
      <c r="F8" s="26"/>
      <c r="G8" s="26"/>
      <c r="H8" s="26"/>
    </row>
    <row r="9" spans="1:8" ht="18" customHeight="1">
      <c r="A9" s="29" t="s">
        <v>127</v>
      </c>
      <c r="B9" s="26">
        <f aca="true" t="shared" si="0" ref="B9:G9">B3-B4</f>
        <v>-62345152.5</v>
      </c>
      <c r="C9" s="26">
        <f t="shared" si="0"/>
        <v>-73823196.6</v>
      </c>
      <c r="D9" s="26">
        <f t="shared" si="0"/>
        <v>63193767.16000001</v>
      </c>
      <c r="E9" s="26">
        <f t="shared" si="0"/>
        <v>48500000</v>
      </c>
      <c r="F9" s="26">
        <f t="shared" si="0"/>
        <v>37000000</v>
      </c>
      <c r="G9" s="26">
        <f t="shared" si="0"/>
        <v>33000000</v>
      </c>
      <c r="H9" s="26">
        <f>H3-H4</f>
        <v>21000000</v>
      </c>
    </row>
    <row r="10" spans="1:8" ht="18" customHeight="1">
      <c r="A10" s="29" t="s">
        <v>128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</row>
    <row r="11" spans="1:8" ht="18" customHeight="1">
      <c r="A11" s="29" t="s">
        <v>129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</row>
    <row r="12" spans="1:8" ht="18" customHeight="1">
      <c r="A12" s="29" t="s">
        <v>130</v>
      </c>
      <c r="B12" s="26">
        <f>B9+B10-B11</f>
        <v>-62345152.5</v>
      </c>
      <c r="C12" s="26">
        <f aca="true" t="shared" si="1" ref="C12:H12">C9+C10-C11</f>
        <v>-73823196.6</v>
      </c>
      <c r="D12" s="26">
        <f t="shared" si="1"/>
        <v>63193767.16000001</v>
      </c>
      <c r="E12" s="26">
        <f t="shared" si="1"/>
        <v>48500000</v>
      </c>
      <c r="F12" s="26">
        <f t="shared" si="1"/>
        <v>37000000</v>
      </c>
      <c r="G12" s="26">
        <f t="shared" si="1"/>
        <v>33000000</v>
      </c>
      <c r="H12" s="26">
        <f t="shared" si="1"/>
        <v>21000000</v>
      </c>
    </row>
    <row r="13" spans="1:8" ht="12.75">
      <c r="A13" s="70"/>
      <c r="B13" s="71"/>
      <c r="C13" s="71"/>
      <c r="D13" s="71"/>
      <c r="E13" s="71"/>
      <c r="F13" s="71"/>
      <c r="G13" s="71"/>
      <c r="H13" s="72"/>
    </row>
    <row r="14" spans="1:8" ht="15" customHeight="1">
      <c r="A14" s="109" t="s">
        <v>131</v>
      </c>
      <c r="B14" s="66" t="s">
        <v>132</v>
      </c>
      <c r="C14" s="66" t="s">
        <v>133</v>
      </c>
      <c r="D14" s="66" t="s">
        <v>134</v>
      </c>
      <c r="E14" s="66" t="s">
        <v>135</v>
      </c>
      <c r="F14" s="66" t="s">
        <v>136</v>
      </c>
      <c r="G14" s="66" t="s">
        <v>137</v>
      </c>
      <c r="H14" s="66" t="s">
        <v>138</v>
      </c>
    </row>
    <row r="15" spans="1:8" ht="15" customHeight="1">
      <c r="A15" s="109"/>
      <c r="B15" s="30">
        <f>B12--77294939.18</f>
        <v>14949786.680000007</v>
      </c>
      <c r="C15" s="30">
        <f aca="true" t="shared" si="2" ref="C15:H15">C12-B12</f>
        <v>-11478044.099999994</v>
      </c>
      <c r="D15" s="30">
        <f t="shared" si="2"/>
        <v>137016963.76</v>
      </c>
      <c r="E15" s="30">
        <f t="shared" si="2"/>
        <v>-14693767.160000011</v>
      </c>
      <c r="F15" s="30">
        <f t="shared" si="2"/>
        <v>-11500000</v>
      </c>
      <c r="G15" s="30">
        <f t="shared" si="2"/>
        <v>-4000000</v>
      </c>
      <c r="H15" s="30">
        <f t="shared" si="2"/>
        <v>-12000000</v>
      </c>
    </row>
    <row r="16" ht="9.75" customHeight="1"/>
    <row r="17" spans="1:8" s="80" customFormat="1" ht="15" customHeight="1">
      <c r="A17" s="87" t="s">
        <v>185</v>
      </c>
      <c r="B17" s="65">
        <v>2015</v>
      </c>
      <c r="C17" s="65">
        <v>2016</v>
      </c>
      <c r="D17" s="65">
        <v>2017</v>
      </c>
      <c r="E17" s="65">
        <v>2018</v>
      </c>
      <c r="F17" s="65">
        <v>2019</v>
      </c>
      <c r="G17" s="65">
        <v>2020</v>
      </c>
      <c r="H17" s="65">
        <v>2021</v>
      </c>
    </row>
    <row r="18" spans="1:8" s="80" customFormat="1" ht="15" customHeight="1">
      <c r="A18" s="81" t="s">
        <v>186</v>
      </c>
      <c r="B18" s="82"/>
      <c r="C18" s="82"/>
      <c r="D18" s="82"/>
      <c r="E18" s="83">
        <f>'META DO RESULTADO PRIMÁRIO'!E9</f>
        <v>27870050</v>
      </c>
      <c r="F18" s="83">
        <f>'META DO RESULTADO PRIMÁRIO'!F9</f>
        <v>28520400</v>
      </c>
      <c r="G18" s="83">
        <f>'META DO RESULTADO PRIMÁRIO'!G9</f>
        <v>29735700</v>
      </c>
      <c r="H18" s="83">
        <f>'META DO RESULTADO PRIMÁRIO'!H9</f>
        <v>30624800</v>
      </c>
    </row>
    <row r="19" spans="1:8" s="80" customFormat="1" ht="15" customHeight="1">
      <c r="A19" s="81" t="s">
        <v>187</v>
      </c>
      <c r="B19" s="82"/>
      <c r="C19" s="82"/>
      <c r="D19" s="82"/>
      <c r="E19" s="83">
        <v>0</v>
      </c>
      <c r="F19" s="83">
        <v>0</v>
      </c>
      <c r="G19" s="83">
        <v>0</v>
      </c>
      <c r="H19" s="83">
        <v>0</v>
      </c>
    </row>
    <row r="20" spans="1:8" s="80" customFormat="1" ht="8.25" customHeight="1">
      <c r="A20" s="84"/>
      <c r="B20" s="85"/>
      <c r="C20" s="85"/>
      <c r="D20" s="85"/>
      <c r="E20" s="85"/>
      <c r="F20" s="86"/>
      <c r="G20" s="85"/>
      <c r="H20" s="85"/>
    </row>
    <row r="21" spans="1:8" s="80" customFormat="1" ht="15" customHeight="1">
      <c r="A21" s="81" t="s">
        <v>188</v>
      </c>
      <c r="B21" s="82"/>
      <c r="C21" s="82"/>
      <c r="D21" s="82"/>
      <c r="E21" s="83">
        <f>'META DO RESULTADO PRIMÁRIO'!E45+'META DO RESULTADO PRIMÁRIO'!E9</f>
        <v>16347900</v>
      </c>
      <c r="F21" s="83">
        <f>'META DO RESULTADO PRIMÁRIO'!F45+'META DO RESULTADO PRIMÁRIO'!F9</f>
        <v>29978000</v>
      </c>
      <c r="G21" s="83">
        <f>'META DO RESULTADO PRIMÁRIO'!G45+'META DO RESULTADO PRIMÁRIO'!G9</f>
        <v>30000000</v>
      </c>
      <c r="H21" s="83">
        <f>'META DO RESULTADO PRIMÁRIO'!H45+'META DO RESULTADO PRIMÁRIO'!H9</f>
        <v>30000000</v>
      </c>
    </row>
    <row r="22" spans="1:8" s="80" customFormat="1" ht="9.75" customHeight="1">
      <c r="A22" s="84"/>
      <c r="B22" s="85"/>
      <c r="C22" s="85"/>
      <c r="D22" s="85"/>
      <c r="E22" s="85"/>
      <c r="F22" s="86"/>
      <c r="G22" s="85"/>
      <c r="H22" s="85"/>
    </row>
    <row r="23" spans="1:8" s="80" customFormat="1" ht="15" customHeight="1">
      <c r="A23" s="81" t="s">
        <v>189</v>
      </c>
      <c r="B23" s="82"/>
      <c r="C23" s="82"/>
      <c r="D23" s="82"/>
      <c r="E23" s="83">
        <f>E15</f>
        <v>-14693767.160000011</v>
      </c>
      <c r="F23" s="83">
        <f>F15</f>
        <v>-11500000</v>
      </c>
      <c r="G23" s="83">
        <f>G15</f>
        <v>-4000000</v>
      </c>
      <c r="H23" s="83">
        <f>H15</f>
        <v>-12000000</v>
      </c>
    </row>
    <row r="24" spans="1:8" s="80" customFormat="1" ht="9" customHeight="1">
      <c r="A24" s="84"/>
      <c r="B24" s="85"/>
      <c r="C24" s="85"/>
      <c r="D24" s="85"/>
      <c r="E24" s="85"/>
      <c r="F24" s="86"/>
      <c r="G24" s="85"/>
      <c r="H24" s="85"/>
    </row>
    <row r="25" spans="1:8" s="80" customFormat="1" ht="15" customHeight="1">
      <c r="A25" s="87" t="s">
        <v>190</v>
      </c>
      <c r="B25" s="65">
        <v>2015</v>
      </c>
      <c r="C25" s="65">
        <v>2016</v>
      </c>
      <c r="D25" s="65">
        <v>2017</v>
      </c>
      <c r="E25" s="65">
        <v>2018</v>
      </c>
      <c r="F25" s="65">
        <v>2019</v>
      </c>
      <c r="G25" s="65">
        <v>2020</v>
      </c>
      <c r="H25" s="65">
        <v>2021</v>
      </c>
    </row>
    <row r="26" spans="1:8" s="80" customFormat="1" ht="15" customHeight="1">
      <c r="A26" s="81" t="s">
        <v>191</v>
      </c>
      <c r="B26" s="82"/>
      <c r="C26" s="82"/>
      <c r="D26" s="82"/>
      <c r="E26" s="83">
        <f>D7-E7</f>
        <v>-131253.8799999999</v>
      </c>
      <c r="F26" s="83">
        <f>E7-F7</f>
        <v>-500000</v>
      </c>
      <c r="G26" s="83">
        <f>F7-G7</f>
        <v>-1000000</v>
      </c>
      <c r="H26" s="83">
        <f>G7-H7</f>
        <v>2000000</v>
      </c>
    </row>
    <row r="27" spans="1:8" s="80" customFormat="1" ht="15" customHeight="1">
      <c r="A27" s="81" t="s">
        <v>192</v>
      </c>
      <c r="B27" s="82"/>
      <c r="C27" s="82"/>
      <c r="D27" s="82"/>
      <c r="E27" s="83">
        <f>E23-E26</f>
        <v>-14562513.280000012</v>
      </c>
      <c r="F27" s="83">
        <f>F23-F26</f>
        <v>-11000000</v>
      </c>
      <c r="G27" s="83">
        <f>G23-G26</f>
        <v>-3000000</v>
      </c>
      <c r="H27" s="83">
        <f>H23-H26</f>
        <v>-14000000</v>
      </c>
    </row>
    <row r="28" spans="1:8" s="80" customFormat="1" ht="15" customHeight="1">
      <c r="A28" s="84"/>
      <c r="B28" s="85"/>
      <c r="C28" s="85"/>
      <c r="D28" s="85"/>
      <c r="E28" s="85"/>
      <c r="F28" s="86"/>
      <c r="G28" s="85"/>
      <c r="H28" s="85"/>
    </row>
    <row r="29" spans="1:8" s="80" customFormat="1" ht="15" customHeight="1">
      <c r="A29" s="81" t="s">
        <v>193</v>
      </c>
      <c r="B29" s="82"/>
      <c r="C29" s="82"/>
      <c r="D29" s="82"/>
      <c r="E29" s="83">
        <f>E27-E18</f>
        <v>-42432563.280000016</v>
      </c>
      <c r="F29" s="83">
        <f>F27-F18</f>
        <v>-39520400</v>
      </c>
      <c r="G29" s="83">
        <f>G27-G18</f>
        <v>-32735700</v>
      </c>
      <c r="H29" s="83">
        <f>H27-H18</f>
        <v>-44624800</v>
      </c>
    </row>
    <row r="30" spans="1:8" ht="12.75">
      <c r="A30" s="101" t="s">
        <v>153</v>
      </c>
      <c r="B30" s="101"/>
      <c r="C30" s="101"/>
      <c r="D30" s="101"/>
      <c r="E30" s="101"/>
      <c r="F30" s="101"/>
      <c r="G30" s="101"/>
      <c r="H30" s="101"/>
    </row>
  </sheetData>
  <sheetProtection/>
  <mergeCells count="3">
    <mergeCell ref="A1:A2"/>
    <mergeCell ref="A14:A15"/>
    <mergeCell ref="A30:H30"/>
  </mergeCells>
  <printOptions horizontalCentered="1"/>
  <pageMargins left="0.3937007874015748" right="0.3937007874015748" top="1.6929133858267718" bottom="0.15748031496062992" header="0.4330708661417323" footer="0.2755905511811024"/>
  <pageSetup horizontalDpi="600" verticalDpi="600" orientation="landscape" paperSize="9" r:id="rId1"/>
  <headerFooter alignWithMargins="0">
    <oddHeader>&amp;CMEMÓRIA E METODOLOGIA IV      
Prefeitura Municipal de Santa Maria       
Lei de Diretrizes Orçamentárias       
Memória e Metodologia de Cálculo       
METAS ANUAIS PARA O RESULTADO NOMINAL       
2019     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H6" sqref="H6"/>
    </sheetView>
  </sheetViews>
  <sheetFormatPr defaultColWidth="11.140625" defaultRowHeight="12.75"/>
  <cols>
    <col min="1" max="1" width="34.7109375" style="1" customWidth="1"/>
    <col min="2" max="8" width="13.28125" style="1" customWidth="1"/>
    <col min="9" max="16384" width="11.140625" style="1" customWidth="1"/>
  </cols>
  <sheetData>
    <row r="1" spans="1:256" ht="35.25" customHeight="1">
      <c r="A1" s="28" t="s">
        <v>52</v>
      </c>
      <c r="B1" s="65">
        <v>2015</v>
      </c>
      <c r="C1" s="65">
        <v>2016</v>
      </c>
      <c r="D1" s="65">
        <v>2017</v>
      </c>
      <c r="E1" s="65">
        <v>2018</v>
      </c>
      <c r="F1" s="65">
        <v>2019</v>
      </c>
      <c r="G1" s="65">
        <v>2020</v>
      </c>
      <c r="H1" s="65">
        <v>2021</v>
      </c>
      <c r="IV1"/>
    </row>
    <row r="2" spans="1:256" ht="16.5" customHeight="1">
      <c r="A2" s="29" t="s">
        <v>139</v>
      </c>
      <c r="B2" s="26">
        <f aca="true" t="shared" si="0" ref="B2:G2">B3+B4</f>
        <v>140002465.16</v>
      </c>
      <c r="C2" s="26">
        <f t="shared" si="0"/>
        <v>115940110.63</v>
      </c>
      <c r="D2" s="26">
        <f t="shared" si="0"/>
        <v>141933572.9</v>
      </c>
      <c r="E2" s="26">
        <f t="shared" si="0"/>
        <v>127000000</v>
      </c>
      <c r="F2" s="26">
        <f t="shared" si="0"/>
        <v>120000000</v>
      </c>
      <c r="G2" s="26">
        <f t="shared" si="0"/>
        <v>110000000</v>
      </c>
      <c r="H2" s="26">
        <f>H3+H4</f>
        <v>100000000</v>
      </c>
      <c r="IV2"/>
    </row>
    <row r="3" spans="1:256" ht="16.5" customHeight="1">
      <c r="A3" s="31" t="s">
        <v>140</v>
      </c>
      <c r="B3" s="26">
        <v>0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  <c r="H3" s="26">
        <v>0</v>
      </c>
      <c r="IV3"/>
    </row>
    <row r="4" spans="1:256" ht="16.5" customHeight="1">
      <c r="A4" s="31" t="s">
        <v>141</v>
      </c>
      <c r="B4" s="26">
        <v>140002465.16</v>
      </c>
      <c r="C4" s="26">
        <v>115940110.63</v>
      </c>
      <c r="D4" s="26">
        <v>141933572.9</v>
      </c>
      <c r="E4" s="26">
        <v>127000000</v>
      </c>
      <c r="F4" s="26">
        <v>120000000</v>
      </c>
      <c r="G4" s="26">
        <v>110000000</v>
      </c>
      <c r="H4" s="26">
        <v>100000000</v>
      </c>
      <c r="IV4"/>
    </row>
    <row r="5" spans="1:256" s="2" customFormat="1" ht="16.5" customHeight="1">
      <c r="A5" s="29" t="s">
        <v>142</v>
      </c>
      <c r="B5" s="30">
        <f aca="true" t="shared" si="1" ref="B5:H5">B6+B7-B8</f>
        <v>202347617.66</v>
      </c>
      <c r="C5" s="30">
        <f t="shared" si="1"/>
        <v>189763307.23</v>
      </c>
      <c r="D5" s="30">
        <f t="shared" si="1"/>
        <v>78739805.74</v>
      </c>
      <c r="E5" s="30">
        <f t="shared" si="1"/>
        <v>78500000</v>
      </c>
      <c r="F5" s="30">
        <f t="shared" si="1"/>
        <v>83000000</v>
      </c>
      <c r="G5" s="30">
        <f t="shared" si="1"/>
        <v>77000000</v>
      </c>
      <c r="H5" s="30">
        <f t="shared" si="1"/>
        <v>79000000</v>
      </c>
      <c r="IV5"/>
    </row>
    <row r="6" spans="1:256" ht="16.5" customHeight="1">
      <c r="A6" s="31" t="s">
        <v>123</v>
      </c>
      <c r="B6" s="26">
        <v>203326694.95</v>
      </c>
      <c r="C6" s="26">
        <v>191079968.13</v>
      </c>
      <c r="D6" s="26">
        <v>80108551.86</v>
      </c>
      <c r="E6" s="26">
        <v>80000000</v>
      </c>
      <c r="F6" s="26">
        <v>85000000</v>
      </c>
      <c r="G6" s="26">
        <v>80000000</v>
      </c>
      <c r="H6" s="26">
        <v>80000000</v>
      </c>
      <c r="IV6"/>
    </row>
    <row r="7" spans="1:256" ht="16.5" customHeight="1">
      <c r="A7" s="31" t="s">
        <v>124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V7"/>
    </row>
    <row r="8" spans="1:256" ht="16.5" customHeight="1">
      <c r="A8" s="31" t="s">
        <v>143</v>
      </c>
      <c r="B8" s="26">
        <v>979077.29</v>
      </c>
      <c r="C8" s="26">
        <v>1316660.9</v>
      </c>
      <c r="D8" s="26">
        <v>1368746.12</v>
      </c>
      <c r="E8" s="26">
        <v>1500000</v>
      </c>
      <c r="F8" s="26">
        <v>2000000</v>
      </c>
      <c r="G8" s="26">
        <v>3000000</v>
      </c>
      <c r="H8" s="26">
        <v>1000000</v>
      </c>
      <c r="IV8"/>
    </row>
    <row r="9" spans="1:256" ht="16.5" customHeight="1">
      <c r="A9" s="29" t="s">
        <v>126</v>
      </c>
      <c r="B9" s="26"/>
      <c r="C9" s="26"/>
      <c r="D9" s="26"/>
      <c r="E9" s="26"/>
      <c r="F9" s="26"/>
      <c r="G9" s="26"/>
      <c r="H9" s="26"/>
      <c r="IV9"/>
    </row>
    <row r="10" spans="1:256" ht="16.5" customHeight="1">
      <c r="A10" s="31" t="s">
        <v>144</v>
      </c>
      <c r="B10" s="26"/>
      <c r="C10" s="26"/>
      <c r="D10" s="26"/>
      <c r="E10" s="26"/>
      <c r="F10" s="26"/>
      <c r="G10" s="26"/>
      <c r="H10" s="26"/>
      <c r="IV10"/>
    </row>
    <row r="11" spans="1:256" s="2" customFormat="1" ht="16.5" customHeight="1">
      <c r="A11" s="29" t="s">
        <v>145</v>
      </c>
      <c r="B11" s="30">
        <f>B2-B5</f>
        <v>-62345152.5</v>
      </c>
      <c r="C11" s="30">
        <f aca="true" t="shared" si="2" ref="C11:H11">C2-C5</f>
        <v>-73823196.6</v>
      </c>
      <c r="D11" s="30">
        <f t="shared" si="2"/>
        <v>63193767.16000001</v>
      </c>
      <c r="E11" s="30">
        <f t="shared" si="2"/>
        <v>48500000</v>
      </c>
      <c r="F11" s="30">
        <f t="shared" si="2"/>
        <v>37000000</v>
      </c>
      <c r="G11" s="30">
        <f t="shared" si="2"/>
        <v>33000000</v>
      </c>
      <c r="H11" s="30">
        <f t="shared" si="2"/>
        <v>21000000</v>
      </c>
      <c r="IV11"/>
    </row>
    <row r="12" spans="1:9" ht="12.75">
      <c r="A12" s="101" t="s">
        <v>153</v>
      </c>
      <c r="B12" s="101"/>
      <c r="C12" s="101"/>
      <c r="D12" s="101"/>
      <c r="E12" s="101"/>
      <c r="F12" s="101"/>
      <c r="G12" s="101"/>
      <c r="H12" s="101"/>
      <c r="I12" s="4"/>
    </row>
  </sheetData>
  <sheetProtection/>
  <mergeCells count="1">
    <mergeCell ref="A12:H12"/>
  </mergeCells>
  <printOptions horizontalCentered="1"/>
  <pageMargins left="0.3937007874015748" right="0.3937007874015748" top="1.7716535433070868" bottom="0.3937007874015748" header="0.5118110236220472" footer="0.5118110236220472"/>
  <pageSetup horizontalDpi="600" verticalDpi="600" orientation="landscape" paperSize="9" r:id="rId1"/>
  <headerFooter alignWithMargins="0">
    <oddHeader>&amp;CMEMÓRIA E METODOLOGIA V        
Prefeitura Municipal de Santa Maria        
Lei de Diretrizes Orçamentárias        
Memória e Metodologia de Cálculo        
METAS ANUAIS PARA O MONTANTE DA DÍVIDA PÚBLICA        
2019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Nizeti</dc:creator>
  <cp:keywords/>
  <dc:description/>
  <cp:lastModifiedBy>Nizeti</cp:lastModifiedBy>
  <cp:lastPrinted>2018-05-14T13:09:20Z</cp:lastPrinted>
  <dcterms:created xsi:type="dcterms:W3CDTF">2005-08-10T14:30:36Z</dcterms:created>
  <dcterms:modified xsi:type="dcterms:W3CDTF">2018-05-14T13:12:52Z</dcterms:modified>
  <cp:category/>
  <cp:version/>
  <cp:contentType/>
  <cp:contentStatus/>
  <cp:revision>2</cp:revision>
</cp:coreProperties>
</file>