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<sst xmlns="http://schemas.openxmlformats.org/spreadsheetml/2006/main" count="90" uniqueCount="44">
  <si>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</si>
  <si>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</si>
  <si>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</si>
  <si>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</si>
  <si>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</si>
  <si>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</si>
  <si>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</si>
  <si>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</si>
  <si>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</si>
  <si>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</si>
  <si>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</si>
  <si>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</si>
  <si>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</si>
  <si>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</si>
  <si>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</si>
  <si>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</si>
  <si>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</si>
  <si>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</si>
  <si>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</si>
  <si>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</si>
  <si>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</si>
  <si>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</si>
  <si>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</si>
  <si>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</si>
  <si>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</si>
  <si>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</si>
  <si>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</si>
  <si>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</si>
  <si>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</si>
  <si>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</si>
  <si>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</si>
  <si>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</si>
  <si>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</si>
  <si>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</si>
  <si>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</si>
  <si>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</si>
  <si>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</si>
  <si>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</si>
  <si>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</si>
  <si>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IMPOSTOS, TAXAS E CONTRIBUIÇÕES DE MELHORIA</t>
  </si>
  <si>
    <t>ANEXO I – METAS DE ARRECADAÇÃO PARA O EXERCÍCIO 2018</t>
  </si>
  <si>
    <t>PROJEÇÃO PERCENTUAL DA ARRECADAÇÃO MENSAL – 2018</t>
  </si>
  <si>
    <t>Realizado</t>
  </si>
  <si>
    <t>CONTRIBUIÇÃO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</si>
</sst>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ill="0" applyAlignment="0" applyProtection="0"/>
  </cellStyleXfs>
  <cellXfs count="34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72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0" borderId="10" xfId="60" applyNumberFormat="1" applyFont="1" applyFill="1" applyBorder="1" applyAlignment="1" applyProtection="1">
      <alignment vertical="center" wrapText="1"/>
      <protection/>
    </xf>
    <xf numFmtId="172" fontId="19" fillId="34" borderId="13" xfId="60" applyFont="1" applyFill="1" applyBorder="1" applyAlignment="1" applyProtection="1">
      <alignment horizontal="center" vertical="center"/>
      <protection/>
    </xf>
    <xf numFmtId="172" fontId="19" fillId="34" borderId="11" xfId="60" applyFont="1" applyFill="1" applyBorder="1" applyAlignment="1" applyProtection="1">
      <alignment horizontal="center" vertical="center"/>
      <protection/>
    </xf>
    <xf numFmtId="172" fontId="19" fillId="34" borderId="12" xfId="60" applyFont="1" applyFill="1" applyBorder="1" applyAlignment="1" applyProtection="1">
      <alignment horizontal="center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72" fontId="19" fillId="34" borderId="10" xfId="60" applyFont="1" applyFill="1" applyBorder="1" applyAlignment="1" applyProtection="1">
      <alignment horizontal="center" vertical="center"/>
      <protection/>
    </xf>
    <xf numFmtId="172" fontId="19" fillId="34" borderId="10" xfId="6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17.421875" defaultRowHeight="12.75"/>
  <cols>
    <col min="1" max="1" width="21.14062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2" t="s">
        <v>0</v>
      </c>
      <c r="B2" s="28" t="s">
        <v>40</v>
      </c>
      <c r="C2" s="29"/>
      <c r="D2" s="29"/>
      <c r="E2" s="29"/>
      <c r="F2" s="29"/>
      <c r="G2" s="29"/>
      <c r="H2" s="29"/>
      <c r="I2" s="29"/>
      <c r="J2" s="29"/>
      <c r="K2" s="28" t="s">
        <v>40</v>
      </c>
      <c r="L2" s="29"/>
      <c r="M2" s="29"/>
      <c r="N2" s="29"/>
      <c r="O2" s="29"/>
      <c r="P2" s="29"/>
      <c r="Q2" s="29"/>
      <c r="R2" s="29"/>
      <c r="S2" s="29"/>
      <c r="T2" s="30"/>
      <c r="U2" s="3"/>
      <c r="V2" s="3"/>
    </row>
    <row r="3" spans="1:22" s="4" customFormat="1" ht="12.75" customHeight="1">
      <c r="A3" s="32"/>
      <c r="B3" s="5" t="s">
        <v>1</v>
      </c>
      <c r="C3" s="5" t="s">
        <v>2</v>
      </c>
      <c r="D3" s="33" t="s">
        <v>3</v>
      </c>
      <c r="E3" s="5" t="s">
        <v>4</v>
      </c>
      <c r="F3" s="5" t="s">
        <v>5</v>
      </c>
      <c r="G3" s="33" t="s">
        <v>6</v>
      </c>
      <c r="H3" s="5" t="s">
        <v>7</v>
      </c>
      <c r="I3" s="5" t="s">
        <v>8</v>
      </c>
      <c r="J3" s="33" t="s">
        <v>9</v>
      </c>
      <c r="K3" s="5" t="s">
        <v>10</v>
      </c>
      <c r="L3" s="5" t="s">
        <v>11</v>
      </c>
      <c r="M3" s="33" t="s">
        <v>12</v>
      </c>
      <c r="N3" s="5" t="s">
        <v>13</v>
      </c>
      <c r="O3" s="5" t="s">
        <v>14</v>
      </c>
      <c r="P3" s="33" t="s">
        <v>15</v>
      </c>
      <c r="Q3" s="5" t="s">
        <v>16</v>
      </c>
      <c r="R3" s="5" t="s">
        <v>17</v>
      </c>
      <c r="S3" s="33" t="s">
        <v>18</v>
      </c>
      <c r="T3" s="26" t="s">
        <v>19</v>
      </c>
      <c r="U3" s="24"/>
      <c r="V3" s="25"/>
    </row>
    <row r="4" spans="1:22" s="4" customFormat="1" ht="12.75" customHeight="1">
      <c r="A4" s="32"/>
      <c r="B4" s="6" t="s">
        <v>42</v>
      </c>
      <c r="C4" s="6" t="s">
        <v>42</v>
      </c>
      <c r="D4" s="33"/>
      <c r="E4" s="6" t="s">
        <v>42</v>
      </c>
      <c r="F4" s="6" t="s">
        <v>42</v>
      </c>
      <c r="G4" s="33"/>
      <c r="H4" s="6" t="s">
        <v>20</v>
      </c>
      <c r="I4" s="6" t="s">
        <v>20</v>
      </c>
      <c r="J4" s="33"/>
      <c r="K4" s="6" t="s">
        <v>20</v>
      </c>
      <c r="L4" s="6" t="s">
        <v>20</v>
      </c>
      <c r="M4" s="33"/>
      <c r="N4" s="6" t="s">
        <v>20</v>
      </c>
      <c r="O4" s="6" t="s">
        <v>20</v>
      </c>
      <c r="P4" s="33"/>
      <c r="Q4" s="6" t="s">
        <v>20</v>
      </c>
      <c r="R4" s="6" t="s">
        <v>20</v>
      </c>
      <c r="S4" s="33"/>
      <c r="T4" s="6" t="s">
        <v>20</v>
      </c>
      <c r="U4" s="6" t="s">
        <v>21</v>
      </c>
      <c r="V4" s="7" t="s">
        <v>22</v>
      </c>
    </row>
    <row r="5" spans="1:22" s="2" customFormat="1" ht="18" customHeight="1">
      <c r="A5" s="8" t="s">
        <v>23</v>
      </c>
      <c r="B5" s="8">
        <f aca="true" t="shared" si="0" ref="B5:S5">SUM(B6+B7+B8+B9+B10+B11+B12)</f>
        <v>78937545.52999999</v>
      </c>
      <c r="C5" s="8">
        <f t="shared" si="0"/>
        <v>44885458.11</v>
      </c>
      <c r="D5" s="9">
        <f t="shared" si="0"/>
        <v>123823003.64</v>
      </c>
      <c r="E5" s="8">
        <f t="shared" si="0"/>
        <v>41268321.86</v>
      </c>
      <c r="F5" s="8">
        <f t="shared" si="0"/>
        <v>51972674.17999999</v>
      </c>
      <c r="G5" s="10">
        <f t="shared" si="0"/>
        <v>93240996.03999999</v>
      </c>
      <c r="H5" s="8">
        <f t="shared" si="0"/>
        <v>49161767.60000001</v>
      </c>
      <c r="I5" s="8">
        <f t="shared" si="0"/>
        <v>42524366.470000006</v>
      </c>
      <c r="J5" s="10">
        <f t="shared" si="0"/>
        <v>91686134.07000001</v>
      </c>
      <c r="K5" s="8">
        <f t="shared" si="0"/>
        <v>42580615.73</v>
      </c>
      <c r="L5" s="8">
        <f t="shared" si="0"/>
        <v>43255605.68</v>
      </c>
      <c r="M5" s="10">
        <f t="shared" si="0"/>
        <v>85836221.41</v>
      </c>
      <c r="N5" s="8">
        <f t="shared" si="0"/>
        <v>42018124.11000001</v>
      </c>
      <c r="O5" s="8">
        <f t="shared" si="0"/>
        <v>40386898.330000006</v>
      </c>
      <c r="P5" s="10">
        <f t="shared" si="0"/>
        <v>82405022.44</v>
      </c>
      <c r="Q5" s="8">
        <f t="shared" si="0"/>
        <v>38024433.51</v>
      </c>
      <c r="R5" s="8">
        <f t="shared" si="0"/>
        <v>56192912.940000005</v>
      </c>
      <c r="S5" s="10">
        <f t="shared" si="0"/>
        <v>94217346.45</v>
      </c>
      <c r="T5" s="8">
        <f>SUM(T6+T7+T8+T9+T10+T11+T12)</f>
        <v>571208724.05</v>
      </c>
      <c r="U5" s="8">
        <f>SUM(U6:U12)</f>
        <v>1048200101.65</v>
      </c>
      <c r="V5" s="11">
        <f aca="true" t="shared" si="1" ref="V5:V20">U5-T5</f>
        <v>476991377.6</v>
      </c>
    </row>
    <row r="6" spans="1:22" s="1" customFormat="1" ht="24.75" customHeight="1">
      <c r="A6" s="27" t="s">
        <v>39</v>
      </c>
      <c r="B6" s="13">
        <f>38925878-3129.31</f>
        <v>38922748.69</v>
      </c>
      <c r="C6" s="13">
        <f>12543634.64-12143.57-1600.36</f>
        <v>12529890.71</v>
      </c>
      <c r="D6" s="9">
        <f aca="true" t="shared" si="2" ref="D6:D12">SUM(B6:C6)</f>
        <v>51452639.4</v>
      </c>
      <c r="E6" s="13">
        <f>12500235.75-31238.3-26.14</f>
        <v>12468971.309999999</v>
      </c>
      <c r="F6" s="13">
        <f>14087534.04-281785.77-83.17</f>
        <v>13805665.1</v>
      </c>
      <c r="G6" s="9">
        <f aca="true" t="shared" si="3" ref="G6:G12">SUM(E6:F6)</f>
        <v>26274636.409999996</v>
      </c>
      <c r="H6" s="13">
        <v>17367583.51</v>
      </c>
      <c r="I6" s="13">
        <v>15022761.01</v>
      </c>
      <c r="J6" s="9">
        <f aca="true" t="shared" si="4" ref="J6:J12">SUM(H6:I6)</f>
        <v>32390344.520000003</v>
      </c>
      <c r="K6" s="13">
        <v>15042632.45</v>
      </c>
      <c r="L6" s="13">
        <v>15281088.97</v>
      </c>
      <c r="M6" s="9">
        <f aca="true" t="shared" si="5" ref="M6:M12">SUM(K6:L6)</f>
        <v>30323721.42</v>
      </c>
      <c r="N6" s="13">
        <v>14843918.68</v>
      </c>
      <c r="O6" s="13">
        <v>14267648.7</v>
      </c>
      <c r="P6" s="9">
        <f aca="true" t="shared" si="6" ref="P6:P12">SUM(N6:O6)</f>
        <v>29111567.38</v>
      </c>
      <c r="Q6" s="13">
        <v>13433050.85</v>
      </c>
      <c r="R6" s="13">
        <v>19851505.68</v>
      </c>
      <c r="S6" s="9">
        <f aca="true" t="shared" si="7" ref="S6:S11">SUM(Q6:R6)</f>
        <v>33284556.53</v>
      </c>
      <c r="T6" s="12">
        <f aca="true" t="shared" si="8" ref="T6:T12">D6+G6+J6+M6+P6+S6</f>
        <v>202837465.66</v>
      </c>
      <c r="U6" s="12">
        <f aca="true" t="shared" si="9" ref="U6:U20">SUM(B6:R6)</f>
        <v>372390374.79</v>
      </c>
      <c r="V6" s="14">
        <f t="shared" si="1"/>
        <v>169552909.13000003</v>
      </c>
    </row>
    <row r="7" spans="1:22" s="1" customFormat="1" ht="12.75" customHeight="1">
      <c r="A7" s="27" t="s">
        <v>43</v>
      </c>
      <c r="B7" s="13">
        <v>986522.87</v>
      </c>
      <c r="C7" s="13">
        <f>757646.54-313.34</f>
        <v>757333.2000000001</v>
      </c>
      <c r="D7" s="9">
        <f t="shared" si="2"/>
        <v>1743856.07</v>
      </c>
      <c r="E7" s="13">
        <f>743981.53-6.52</f>
        <v>743975.01</v>
      </c>
      <c r="F7" s="13">
        <v>763515.35</v>
      </c>
      <c r="G7" s="9">
        <f t="shared" si="3"/>
        <v>1507490.3599999999</v>
      </c>
      <c r="H7" s="13">
        <v>775806.1</v>
      </c>
      <c r="I7" s="13">
        <v>671063.4</v>
      </c>
      <c r="J7" s="9">
        <f t="shared" si="4"/>
        <v>1446869.5</v>
      </c>
      <c r="K7" s="13">
        <v>671951.05</v>
      </c>
      <c r="L7" s="13">
        <v>682602.85</v>
      </c>
      <c r="M7" s="9">
        <f t="shared" si="5"/>
        <v>1354553.9</v>
      </c>
      <c r="N7" s="13">
        <v>663074.55</v>
      </c>
      <c r="O7" s="13">
        <v>637332.7</v>
      </c>
      <c r="P7" s="9">
        <f t="shared" si="6"/>
        <v>1300407.25</v>
      </c>
      <c r="Q7" s="13">
        <v>600051.4</v>
      </c>
      <c r="R7" s="13">
        <v>886762.35</v>
      </c>
      <c r="S7" s="9">
        <f t="shared" si="7"/>
        <v>1486813.75</v>
      </c>
      <c r="T7" s="12">
        <f t="shared" si="8"/>
        <v>8839990.83</v>
      </c>
      <c r="U7" s="12">
        <f t="shared" si="9"/>
        <v>16193167.91</v>
      </c>
      <c r="V7" s="14">
        <f t="shared" si="1"/>
        <v>7353177.08</v>
      </c>
    </row>
    <row r="8" spans="1:22" s="1" customFormat="1" ht="12.75" customHeight="1">
      <c r="A8" s="12" t="s">
        <v>25</v>
      </c>
      <c r="B8" s="13">
        <v>552698.48</v>
      </c>
      <c r="C8" s="13">
        <f>372782.11-376.49</f>
        <v>372405.62</v>
      </c>
      <c r="D8" s="9">
        <f t="shared" si="2"/>
        <v>925104.1</v>
      </c>
      <c r="E8" s="13">
        <v>542147.11</v>
      </c>
      <c r="F8" s="13">
        <f>637659.67-2261.15</f>
        <v>635398.52</v>
      </c>
      <c r="G8" s="9">
        <f t="shared" si="3"/>
        <v>1177545.63</v>
      </c>
      <c r="H8" s="13">
        <v>709447.65</v>
      </c>
      <c r="I8" s="13">
        <v>613664.1</v>
      </c>
      <c r="J8" s="9">
        <f t="shared" si="4"/>
        <v>1323111.75</v>
      </c>
      <c r="K8" s="13">
        <v>614475.83</v>
      </c>
      <c r="L8" s="13">
        <v>624216.53</v>
      </c>
      <c r="M8" s="9">
        <f t="shared" si="5"/>
        <v>1238692.3599999999</v>
      </c>
      <c r="N8" s="13">
        <v>606358.58</v>
      </c>
      <c r="O8" s="13">
        <v>582818.55</v>
      </c>
      <c r="P8" s="9">
        <f t="shared" si="6"/>
        <v>1189177.13</v>
      </c>
      <c r="Q8" s="13">
        <v>548726.1</v>
      </c>
      <c r="R8" s="13">
        <v>810913.28</v>
      </c>
      <c r="S8" s="9">
        <f t="shared" si="7"/>
        <v>1359639.38</v>
      </c>
      <c r="T8" s="12">
        <f t="shared" si="8"/>
        <v>7213270.35</v>
      </c>
      <c r="U8" s="12">
        <f t="shared" si="9"/>
        <v>13066901.32</v>
      </c>
      <c r="V8" s="14">
        <f t="shared" si="1"/>
        <v>5853630.970000001</v>
      </c>
    </row>
    <row r="9" spans="1:22" s="1" customFormat="1" ht="18.75" customHeight="1" hidden="1">
      <c r="A9" s="12" t="s">
        <v>26</v>
      </c>
      <c r="B9" s="13">
        <v>0</v>
      </c>
      <c r="C9" s="13"/>
      <c r="D9" s="9">
        <f t="shared" si="2"/>
        <v>0</v>
      </c>
      <c r="E9" s="13"/>
      <c r="F9" s="13"/>
      <c r="G9" s="9">
        <f t="shared" si="3"/>
        <v>0</v>
      </c>
      <c r="H9" s="13"/>
      <c r="I9" s="13"/>
      <c r="J9" s="9">
        <f t="shared" si="4"/>
        <v>0</v>
      </c>
      <c r="K9" s="13"/>
      <c r="L9" s="13"/>
      <c r="M9" s="9">
        <f t="shared" si="5"/>
        <v>0</v>
      </c>
      <c r="N9" s="13"/>
      <c r="O9" s="13"/>
      <c r="P9" s="9">
        <f t="shared" si="6"/>
        <v>0</v>
      </c>
      <c r="Q9" s="13"/>
      <c r="R9" s="13"/>
      <c r="S9" s="9">
        <f t="shared" si="7"/>
        <v>0</v>
      </c>
      <c r="T9" s="12">
        <f t="shared" si="8"/>
        <v>0</v>
      </c>
      <c r="U9" s="12">
        <f t="shared" si="9"/>
        <v>0</v>
      </c>
      <c r="V9" s="14">
        <f t="shared" si="1"/>
        <v>0</v>
      </c>
    </row>
    <row r="10" spans="1:22" s="1" customFormat="1" ht="12.75" customHeight="1">
      <c r="A10" s="12" t="s">
        <v>27</v>
      </c>
      <c r="B10" s="13">
        <v>247476.16</v>
      </c>
      <c r="C10" s="13">
        <v>284471.12</v>
      </c>
      <c r="D10" s="9">
        <f t="shared" si="2"/>
        <v>531947.28</v>
      </c>
      <c r="E10" s="13">
        <v>186852.92</v>
      </c>
      <c r="F10" s="13">
        <v>170308.91</v>
      </c>
      <c r="G10" s="9">
        <f t="shared" si="3"/>
        <v>357161.83</v>
      </c>
      <c r="H10" s="13">
        <v>323414.96</v>
      </c>
      <c r="I10" s="13">
        <v>279750.24</v>
      </c>
      <c r="J10" s="9">
        <f t="shared" si="4"/>
        <v>603165.2</v>
      </c>
      <c r="K10" s="13">
        <v>280120.28</v>
      </c>
      <c r="L10" s="13">
        <v>284560.76</v>
      </c>
      <c r="M10" s="9">
        <f t="shared" si="5"/>
        <v>564681.04</v>
      </c>
      <c r="N10" s="13">
        <v>276419.88</v>
      </c>
      <c r="O10" s="13">
        <v>265688.72</v>
      </c>
      <c r="P10" s="9">
        <f t="shared" si="6"/>
        <v>542108.6</v>
      </c>
      <c r="Q10" s="13">
        <v>250147.04</v>
      </c>
      <c r="R10" s="13">
        <v>369669.96</v>
      </c>
      <c r="S10" s="9">
        <f>SUM(Q10:R10)</f>
        <v>619817</v>
      </c>
      <c r="T10" s="12">
        <f>D10+G10+J10+M10+P10+S10</f>
        <v>3218880.95</v>
      </c>
      <c r="U10" s="12">
        <f t="shared" si="9"/>
        <v>5817944.899999999</v>
      </c>
      <c r="V10" s="14">
        <f t="shared" si="1"/>
        <v>2599063.9499999993</v>
      </c>
    </row>
    <row r="11" spans="1:22" s="1" customFormat="1" ht="12.75" customHeight="1">
      <c r="A11" s="12" t="s">
        <v>28</v>
      </c>
      <c r="B11" s="13">
        <v>37671480.3</v>
      </c>
      <c r="C11" s="13">
        <v>30595638.29</v>
      </c>
      <c r="D11" s="9">
        <f t="shared" si="2"/>
        <v>68267118.59</v>
      </c>
      <c r="E11" s="13">
        <v>26830268.2</v>
      </c>
      <c r="F11" s="13">
        <v>35828928.25</v>
      </c>
      <c r="G11" s="9">
        <f t="shared" si="3"/>
        <v>62659196.45</v>
      </c>
      <c r="H11" s="13">
        <v>29734537.54</v>
      </c>
      <c r="I11" s="13">
        <v>25720034.76</v>
      </c>
      <c r="J11" s="9">
        <f t="shared" si="4"/>
        <v>55454572.3</v>
      </c>
      <c r="K11" s="13">
        <v>25754056</v>
      </c>
      <c r="L11" s="13">
        <v>26162310.53</v>
      </c>
      <c r="M11" s="9">
        <f t="shared" si="5"/>
        <v>51916366.53</v>
      </c>
      <c r="N11" s="13">
        <v>25413843.9</v>
      </c>
      <c r="O11" s="13">
        <v>24427228.78</v>
      </c>
      <c r="P11" s="9">
        <f t="shared" si="6"/>
        <v>49841072.68</v>
      </c>
      <c r="Q11" s="13">
        <v>22998337.96</v>
      </c>
      <c r="R11" s="13">
        <v>33987188.83</v>
      </c>
      <c r="S11" s="9">
        <f t="shared" si="7"/>
        <v>56985526.79</v>
      </c>
      <c r="T11" s="12">
        <f t="shared" si="8"/>
        <v>345123853.34000003</v>
      </c>
      <c r="U11" s="12">
        <f t="shared" si="9"/>
        <v>633262179.89</v>
      </c>
      <c r="V11" s="14">
        <f t="shared" si="1"/>
        <v>288138326.54999995</v>
      </c>
    </row>
    <row r="12" spans="1:22" s="1" customFormat="1" ht="12.75" customHeight="1">
      <c r="A12" s="12" t="s">
        <v>29</v>
      </c>
      <c r="B12" s="13">
        <v>556619.03</v>
      </c>
      <c r="C12" s="13">
        <v>345719.17</v>
      </c>
      <c r="D12" s="9">
        <f t="shared" si="2"/>
        <v>902338.2</v>
      </c>
      <c r="E12" s="13">
        <f>504747.24-8639.93</f>
        <v>496107.31</v>
      </c>
      <c r="F12" s="13">
        <v>768858.05</v>
      </c>
      <c r="G12" s="9">
        <f t="shared" si="3"/>
        <v>1264965.36</v>
      </c>
      <c r="H12" s="13">
        <v>250977.84</v>
      </c>
      <c r="I12" s="13">
        <v>217092.96</v>
      </c>
      <c r="J12" s="9">
        <f t="shared" si="4"/>
        <v>468070.8</v>
      </c>
      <c r="K12" s="13">
        <v>217380.12</v>
      </c>
      <c r="L12" s="13">
        <v>220826.04</v>
      </c>
      <c r="M12" s="9">
        <f t="shared" si="5"/>
        <v>438206.16000000003</v>
      </c>
      <c r="N12" s="13">
        <v>214508.52</v>
      </c>
      <c r="O12" s="13">
        <v>206180.88</v>
      </c>
      <c r="P12" s="9">
        <f t="shared" si="6"/>
        <v>420689.4</v>
      </c>
      <c r="Q12" s="13">
        <v>194120.16</v>
      </c>
      <c r="R12" s="13">
        <v>286872.84</v>
      </c>
      <c r="S12" s="9">
        <f>SUM(Q12:R12)</f>
        <v>480993</v>
      </c>
      <c r="T12" s="12">
        <f t="shared" si="8"/>
        <v>3975262.92</v>
      </c>
      <c r="U12" s="12">
        <f t="shared" si="9"/>
        <v>7469532.84</v>
      </c>
      <c r="V12" s="14">
        <f t="shared" si="1"/>
        <v>3494269.92</v>
      </c>
    </row>
    <row r="13" spans="1:22" s="1" customFormat="1" ht="12.75" customHeight="1">
      <c r="A13" s="8" t="s">
        <v>30</v>
      </c>
      <c r="B13" s="8">
        <f aca="true" t="shared" si="10" ref="B13:S13">B15+B16+B14+B17</f>
        <v>1519625.25</v>
      </c>
      <c r="C13" s="8">
        <f>C15+C16+C14+C17+C18</f>
        <v>9441.529999999999</v>
      </c>
      <c r="D13" s="10">
        <f t="shared" si="10"/>
        <v>1529066.78</v>
      </c>
      <c r="E13" s="8">
        <f>E15+E16+E14+E17</f>
        <v>78485.73</v>
      </c>
      <c r="F13" s="8">
        <f aca="true" t="shared" si="11" ref="F13:L13">F15+F16+F14+F17+F18</f>
        <v>98190.55</v>
      </c>
      <c r="G13" s="10">
        <f t="shared" si="11"/>
        <v>176676.28</v>
      </c>
      <c r="H13" s="8">
        <f t="shared" si="11"/>
        <v>4839180.68</v>
      </c>
      <c r="I13" s="8">
        <f t="shared" si="11"/>
        <v>4185835.92</v>
      </c>
      <c r="J13" s="10">
        <f>J15+J16+J14+J17+J18</f>
        <v>9025016.6</v>
      </c>
      <c r="K13" s="8">
        <f t="shared" si="11"/>
        <v>4191372.76</v>
      </c>
      <c r="L13" s="8">
        <f t="shared" si="11"/>
        <v>4257814.6</v>
      </c>
      <c r="M13" s="10">
        <f t="shared" si="10"/>
        <v>8449187.36</v>
      </c>
      <c r="N13" s="8">
        <f t="shared" si="10"/>
        <v>4136004.56</v>
      </c>
      <c r="O13" s="8">
        <f t="shared" si="10"/>
        <v>3975436.76</v>
      </c>
      <c r="P13" s="10">
        <f t="shared" si="10"/>
        <v>8111441.32</v>
      </c>
      <c r="Q13" s="8">
        <f t="shared" si="10"/>
        <v>3742890.32</v>
      </c>
      <c r="R13" s="8">
        <f t="shared" si="10"/>
        <v>5531283.2</v>
      </c>
      <c r="S13" s="10">
        <f t="shared" si="10"/>
        <v>9274173.52</v>
      </c>
      <c r="T13" s="8">
        <f>T15+T16+T14+T17+T18</f>
        <v>36565561.86</v>
      </c>
      <c r="U13" s="8">
        <f t="shared" si="9"/>
        <v>63856950.2</v>
      </c>
      <c r="V13" s="11">
        <f t="shared" si="1"/>
        <v>27291388.340000004</v>
      </c>
    </row>
    <row r="14" spans="1:22" s="1" customFormat="1" ht="12.75" customHeight="1">
      <c r="A14" s="12" t="s">
        <v>31</v>
      </c>
      <c r="B14" s="12">
        <v>0</v>
      </c>
      <c r="C14" s="14">
        <v>0</v>
      </c>
      <c r="D14" s="9">
        <f aca="true" t="shared" si="12" ref="D14:D20">SUM(B14:C14)</f>
        <v>0</v>
      </c>
      <c r="E14" s="12">
        <v>0</v>
      </c>
      <c r="F14" s="12">
        <v>0</v>
      </c>
      <c r="G14" s="9">
        <f aca="true" t="shared" si="13" ref="G14:G20">SUM(E14:F14)</f>
        <v>0</v>
      </c>
      <c r="H14" s="12">
        <v>1050000</v>
      </c>
      <c r="I14" s="12">
        <v>1100000</v>
      </c>
      <c r="J14" s="9">
        <f aca="true" t="shared" si="14" ref="J14:J20">SUM(H14:I14)</f>
        <v>2150000</v>
      </c>
      <c r="K14" s="12">
        <v>1100000</v>
      </c>
      <c r="L14" s="12">
        <v>1100000</v>
      </c>
      <c r="M14" s="9">
        <f aca="true" t="shared" si="15" ref="M14:M20">SUM(K14:L14)</f>
        <v>2200000</v>
      </c>
      <c r="N14" s="12">
        <v>1100000</v>
      </c>
      <c r="O14" s="12">
        <v>1100000</v>
      </c>
      <c r="P14" s="9">
        <f aca="true" t="shared" si="16" ref="P14:P20">SUM(N14:O14)</f>
        <v>2200000</v>
      </c>
      <c r="Q14" s="12">
        <v>1000000</v>
      </c>
      <c r="R14" s="12">
        <v>150000</v>
      </c>
      <c r="S14" s="9">
        <f aca="true" t="shared" si="17" ref="S14:S21">SUM(Q14:R14)</f>
        <v>1150000</v>
      </c>
      <c r="T14" s="12">
        <f aca="true" t="shared" si="18" ref="T14:T20">D14+G14+J14+M14+P14+S14</f>
        <v>7700000</v>
      </c>
      <c r="U14" s="12">
        <f t="shared" si="9"/>
        <v>14250000</v>
      </c>
      <c r="V14" s="14">
        <f t="shared" si="1"/>
        <v>6550000</v>
      </c>
    </row>
    <row r="15" spans="1:22" s="1" customFormat="1" ht="12.75" customHeight="1">
      <c r="A15" s="12" t="s">
        <v>32</v>
      </c>
      <c r="B15" s="12">
        <v>5196.11</v>
      </c>
      <c r="C15" s="14">
        <v>6415.61</v>
      </c>
      <c r="D15" s="9">
        <f t="shared" si="12"/>
        <v>11611.72</v>
      </c>
      <c r="E15" s="12">
        <v>5197.34</v>
      </c>
      <c r="F15" s="12">
        <v>5119.16</v>
      </c>
      <c r="G15" s="9">
        <f t="shared" si="13"/>
        <v>10316.5</v>
      </c>
      <c r="H15" s="12">
        <v>200000</v>
      </c>
      <c r="I15" s="12">
        <v>150000</v>
      </c>
      <c r="J15" s="9">
        <f t="shared" si="14"/>
        <v>350000</v>
      </c>
      <c r="K15" s="12">
        <v>150000</v>
      </c>
      <c r="L15" s="12">
        <v>150000</v>
      </c>
      <c r="M15" s="9">
        <f t="shared" si="15"/>
        <v>300000</v>
      </c>
      <c r="N15" s="12">
        <v>150000</v>
      </c>
      <c r="O15" s="12">
        <v>150000</v>
      </c>
      <c r="P15" s="9">
        <f t="shared" si="16"/>
        <v>300000</v>
      </c>
      <c r="Q15" s="12">
        <v>250000</v>
      </c>
      <c r="R15" s="12">
        <v>160000</v>
      </c>
      <c r="S15" s="9">
        <f t="shared" si="17"/>
        <v>410000</v>
      </c>
      <c r="T15" s="12">
        <f t="shared" si="18"/>
        <v>1381928.22</v>
      </c>
      <c r="U15" s="12">
        <f t="shared" si="9"/>
        <v>2353856.44</v>
      </c>
      <c r="V15" s="14">
        <f t="shared" si="1"/>
        <v>971928.22</v>
      </c>
    </row>
    <row r="16" spans="1:22" s="1" customFormat="1" ht="12.75" customHeight="1">
      <c r="A16" s="12" t="s">
        <v>33</v>
      </c>
      <c r="B16" s="12">
        <v>5281.15</v>
      </c>
      <c r="C16" s="12">
        <v>3025.92</v>
      </c>
      <c r="D16" s="9">
        <f t="shared" si="12"/>
        <v>8307.07</v>
      </c>
      <c r="E16" s="12">
        <v>163.39</v>
      </c>
      <c r="F16" s="12">
        <v>5321.39</v>
      </c>
      <c r="G16" s="9">
        <f t="shared" si="13"/>
        <v>5484.780000000001</v>
      </c>
      <c r="H16" s="12">
        <v>3000</v>
      </c>
      <c r="I16" s="12">
        <v>3000</v>
      </c>
      <c r="J16" s="9">
        <f t="shared" si="14"/>
        <v>6000</v>
      </c>
      <c r="K16" s="12">
        <v>3000</v>
      </c>
      <c r="L16" s="12">
        <v>3000</v>
      </c>
      <c r="M16" s="9">
        <f t="shared" si="15"/>
        <v>6000</v>
      </c>
      <c r="N16" s="12">
        <v>3000</v>
      </c>
      <c r="O16" s="12">
        <v>3000</v>
      </c>
      <c r="P16" s="9">
        <f t="shared" si="16"/>
        <v>6000</v>
      </c>
      <c r="Q16" s="12">
        <v>3000</v>
      </c>
      <c r="R16" s="12">
        <v>4000</v>
      </c>
      <c r="S16" s="9">
        <f t="shared" si="17"/>
        <v>7000</v>
      </c>
      <c r="T16" s="12">
        <f t="shared" si="18"/>
        <v>38791.85</v>
      </c>
      <c r="U16" s="12">
        <f t="shared" si="9"/>
        <v>70583.7</v>
      </c>
      <c r="V16" s="14">
        <f t="shared" si="1"/>
        <v>31791.85</v>
      </c>
    </row>
    <row r="17" spans="1:22" s="1" customFormat="1" ht="12.75" customHeight="1">
      <c r="A17" s="12" t="s">
        <v>34</v>
      </c>
      <c r="B17" s="12">
        <v>1509147.99</v>
      </c>
      <c r="C17" s="12">
        <v>0</v>
      </c>
      <c r="D17" s="9">
        <f t="shared" si="12"/>
        <v>1509147.99</v>
      </c>
      <c r="E17" s="12">
        <v>73125</v>
      </c>
      <c r="F17" s="12">
        <v>87750</v>
      </c>
      <c r="G17" s="9">
        <f t="shared" si="13"/>
        <v>160875</v>
      </c>
      <c r="H17" s="12">
        <f>4185835.92-1253000+653344.76</f>
        <v>3586180.6799999997</v>
      </c>
      <c r="I17" s="12">
        <f>4185835.92-1253000</f>
        <v>2932835.92</v>
      </c>
      <c r="J17" s="9">
        <f t="shared" si="14"/>
        <v>6519016.6</v>
      </c>
      <c r="K17" s="12">
        <f>4191372.76-1253000</f>
        <v>2938372.76</v>
      </c>
      <c r="L17" s="12">
        <f>4257814.6-1253000</f>
        <v>3004814.5999999996</v>
      </c>
      <c r="M17" s="9">
        <f t="shared" si="15"/>
        <v>5943187.359999999</v>
      </c>
      <c r="N17" s="12">
        <f>4136004.56-1253000</f>
        <v>2883004.56</v>
      </c>
      <c r="O17" s="12">
        <f>3975436.76-1253000</f>
        <v>2722436.76</v>
      </c>
      <c r="P17" s="9">
        <f t="shared" si="16"/>
        <v>5605441.32</v>
      </c>
      <c r="Q17" s="12">
        <f>3742890.32-1253000</f>
        <v>2489890.32</v>
      </c>
      <c r="R17" s="12">
        <f>5531283.2-1014000+700000</f>
        <v>5217283.2</v>
      </c>
      <c r="S17" s="9">
        <f t="shared" si="17"/>
        <v>7707173.52</v>
      </c>
      <c r="T17" s="12">
        <f>D17+G17+J17+M17+P17+S17</f>
        <v>27444841.79</v>
      </c>
      <c r="U17" s="12">
        <f t="shared" si="9"/>
        <v>47182510.06</v>
      </c>
      <c r="V17" s="14">
        <f t="shared" si="1"/>
        <v>19737668.270000003</v>
      </c>
    </row>
    <row r="18" spans="1:22" s="1" customFormat="1" ht="18.75" customHeight="1" hidden="1">
      <c r="A18" s="12" t="s">
        <v>38</v>
      </c>
      <c r="B18" s="12">
        <v>0</v>
      </c>
      <c r="C18" s="12">
        <v>0</v>
      </c>
      <c r="D18" s="9">
        <f t="shared" si="12"/>
        <v>0</v>
      </c>
      <c r="E18" s="12">
        <v>0</v>
      </c>
      <c r="F18" s="12">
        <v>0</v>
      </c>
      <c r="G18" s="9">
        <f t="shared" si="13"/>
        <v>0</v>
      </c>
      <c r="H18" s="12">
        <v>0</v>
      </c>
      <c r="I18" s="12">
        <v>0</v>
      </c>
      <c r="J18" s="9">
        <f t="shared" si="14"/>
        <v>0</v>
      </c>
      <c r="K18" s="12">
        <v>0</v>
      </c>
      <c r="L18" s="12">
        <v>0</v>
      </c>
      <c r="M18" s="9">
        <f t="shared" si="15"/>
        <v>0</v>
      </c>
      <c r="N18" s="12">
        <v>0</v>
      </c>
      <c r="O18" s="12">
        <v>0</v>
      </c>
      <c r="P18" s="9">
        <f t="shared" si="16"/>
        <v>0</v>
      </c>
      <c r="Q18" s="12">
        <v>0</v>
      </c>
      <c r="R18" s="12">
        <v>0</v>
      </c>
      <c r="S18" s="9">
        <f t="shared" si="17"/>
        <v>0</v>
      </c>
      <c r="T18" s="12">
        <f>D18+G18+J18+M18+P18+S18</f>
        <v>0</v>
      </c>
      <c r="U18" s="12"/>
      <c r="V18" s="14"/>
    </row>
    <row r="19" spans="1:22" s="1" customFormat="1" ht="12.75" customHeight="1">
      <c r="A19" s="12" t="s">
        <v>36</v>
      </c>
      <c r="B19" s="12">
        <v>4949758.46</v>
      </c>
      <c r="C19" s="12">
        <v>3391204.04</v>
      </c>
      <c r="D19" s="9">
        <f t="shared" si="12"/>
        <v>8340962.5</v>
      </c>
      <c r="E19" s="12">
        <v>3247507.77</v>
      </c>
      <c r="F19" s="12">
        <v>4781933.31</v>
      </c>
      <c r="G19" s="9">
        <f t="shared" si="13"/>
        <v>8029441.08</v>
      </c>
      <c r="H19" s="12">
        <v>3507410.37</v>
      </c>
      <c r="I19" s="12">
        <v>2671106.8</v>
      </c>
      <c r="J19" s="9">
        <f t="shared" si="14"/>
        <v>6178517.17</v>
      </c>
      <c r="K19" s="12">
        <v>2858786.27</v>
      </c>
      <c r="L19" s="12">
        <v>2843880.9</v>
      </c>
      <c r="M19" s="9">
        <f t="shared" si="15"/>
        <v>5702667.17</v>
      </c>
      <c r="N19" s="12">
        <v>2681604.67</v>
      </c>
      <c r="O19" s="12">
        <v>3030158</v>
      </c>
      <c r="P19" s="9">
        <f t="shared" si="16"/>
        <v>5711762.67</v>
      </c>
      <c r="Q19" s="12">
        <v>3460811.04</v>
      </c>
      <c r="R19" s="12">
        <v>4475658.54</v>
      </c>
      <c r="S19" s="9">
        <f t="shared" si="17"/>
        <v>7936469.58</v>
      </c>
      <c r="T19" s="12">
        <f t="shared" si="18"/>
        <v>41899820.17</v>
      </c>
      <c r="U19" s="12">
        <f t="shared" si="9"/>
        <v>75863170.76</v>
      </c>
      <c r="V19" s="14">
        <f t="shared" si="1"/>
        <v>33963350.59</v>
      </c>
    </row>
    <row r="20" spans="1:22" s="1" customFormat="1" ht="12.75" customHeight="1">
      <c r="A20" s="12" t="s">
        <v>37</v>
      </c>
      <c r="B20" s="12">
        <v>2119967.64</v>
      </c>
      <c r="C20" s="12">
        <v>54316.38</v>
      </c>
      <c r="D20" s="9">
        <f t="shared" si="12"/>
        <v>2174284.02</v>
      </c>
      <c r="E20" s="12">
        <f>72105.05</f>
        <v>72105.05</v>
      </c>
      <c r="F20" s="12">
        <v>78085.43</v>
      </c>
      <c r="G20" s="9">
        <f t="shared" si="13"/>
        <v>150190.47999999998</v>
      </c>
      <c r="H20" s="12">
        <f>4596245.41-H19</f>
        <v>1088835.04</v>
      </c>
      <c r="I20" s="12">
        <f>3975699.67-I19</f>
        <v>1304592.87</v>
      </c>
      <c r="J20" s="9">
        <f t="shared" si="14"/>
        <v>2393427.91</v>
      </c>
      <c r="K20" s="12">
        <f>3980958.54-K19</f>
        <v>1122172.27</v>
      </c>
      <c r="L20" s="12">
        <f>4044064.9-L19</f>
        <v>1200184</v>
      </c>
      <c r="M20" s="9">
        <f t="shared" si="15"/>
        <v>2322356.27</v>
      </c>
      <c r="N20" s="12">
        <f>3928369.92-N19</f>
        <v>1246765.25</v>
      </c>
      <c r="O20" s="12">
        <f>3775862.93-O19</f>
        <v>745704.9300000002</v>
      </c>
      <c r="P20" s="9">
        <f t="shared" si="16"/>
        <v>1992470.1800000002</v>
      </c>
      <c r="Q20" s="12">
        <f>3554990.71-Q19</f>
        <v>94179.66999999993</v>
      </c>
      <c r="R20" s="12">
        <f>5253603.15-R19</f>
        <v>777944.6100000003</v>
      </c>
      <c r="S20" s="9">
        <f t="shared" si="17"/>
        <v>872124.2800000003</v>
      </c>
      <c r="T20" s="12">
        <f t="shared" si="18"/>
        <v>9904853.14</v>
      </c>
      <c r="U20" s="12">
        <f t="shared" si="9"/>
        <v>18937582</v>
      </c>
      <c r="V20" s="14">
        <f t="shared" si="1"/>
        <v>9032728.86</v>
      </c>
    </row>
    <row r="21" spans="1:24" s="2" customFormat="1" ht="12.75" customHeight="1">
      <c r="A21" s="8" t="s">
        <v>19</v>
      </c>
      <c r="B21" s="8">
        <f>B5+B13-B19-B20</f>
        <v>73387444.67999999</v>
      </c>
      <c r="C21" s="8">
        <f>C5+C13-C19-C20</f>
        <v>41449379.22</v>
      </c>
      <c r="D21" s="10">
        <f>D5+D13-D19-D20</f>
        <v>114836823.9</v>
      </c>
      <c r="E21" s="8">
        <f>E5+E13-E19-E20</f>
        <v>38027194.769999996</v>
      </c>
      <c r="F21" s="8">
        <f>F5+F13-F19-F20</f>
        <v>47210845.98999999</v>
      </c>
      <c r="G21" s="10">
        <f>SUM(E21:F21)</f>
        <v>85238040.75999999</v>
      </c>
      <c r="H21" s="8">
        <f>H5+H13-H19-H20</f>
        <v>49404702.87000001</v>
      </c>
      <c r="I21" s="8">
        <f>I5+I13-I19-I20</f>
        <v>42734502.72000001</v>
      </c>
      <c r="J21" s="10">
        <f>SUM(H21:I21)</f>
        <v>92139205.59000003</v>
      </c>
      <c r="K21" s="8">
        <f>K5+K13-K19-K20</f>
        <v>42791029.94999999</v>
      </c>
      <c r="L21" s="8">
        <f>L5+L13-L19-L20</f>
        <v>43469355.38</v>
      </c>
      <c r="M21" s="10">
        <f>SUM(K21:L21)</f>
        <v>86260385.32999998</v>
      </c>
      <c r="N21" s="8">
        <f>N5+N13-N19-N20</f>
        <v>42225758.75000001</v>
      </c>
      <c r="O21" s="8">
        <f>O5+O13-O19-O20</f>
        <v>40586472.160000004</v>
      </c>
      <c r="P21" s="10">
        <f>SUM(N21:O21)</f>
        <v>82812230.91000001</v>
      </c>
      <c r="Q21" s="8">
        <f>Q5+Q13-Q19-Q20</f>
        <v>38212333.12</v>
      </c>
      <c r="R21" s="8">
        <f>R5+R13-R19-R20</f>
        <v>56470592.99000001</v>
      </c>
      <c r="S21" s="10">
        <f t="shared" si="17"/>
        <v>94682926.11000001</v>
      </c>
      <c r="T21" s="8">
        <f>T5+T13-T19-T20</f>
        <v>555969612.6</v>
      </c>
      <c r="U21" s="8">
        <f>SUM(B21:R21)</f>
        <v>1017256299.09</v>
      </c>
      <c r="V21" s="11">
        <f>U21-T21</f>
        <v>461286686.49</v>
      </c>
      <c r="W21" s="1"/>
      <c r="X21" s="1"/>
    </row>
    <row r="22" spans="1:20" s="15" customFormat="1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2" s="4" customFormat="1" ht="12.75" customHeight="1">
      <c r="A23" s="32" t="s">
        <v>0</v>
      </c>
      <c r="B23" s="28" t="s">
        <v>41</v>
      </c>
      <c r="C23" s="29"/>
      <c r="D23" s="29"/>
      <c r="E23" s="29"/>
      <c r="F23" s="29"/>
      <c r="G23" s="29"/>
      <c r="H23" s="29"/>
      <c r="I23" s="29"/>
      <c r="J23" s="29"/>
      <c r="K23" s="28" t="s">
        <v>41</v>
      </c>
      <c r="L23" s="29"/>
      <c r="M23" s="29"/>
      <c r="N23" s="29"/>
      <c r="O23" s="29"/>
      <c r="P23" s="29"/>
      <c r="Q23" s="29"/>
      <c r="R23" s="29"/>
      <c r="S23" s="29"/>
      <c r="T23" s="30"/>
      <c r="U23" s="3"/>
      <c r="V23" s="3"/>
    </row>
    <row r="24" spans="1:22" s="4" customFormat="1" ht="23.25" customHeight="1">
      <c r="A24" s="32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0.13819387240852138</v>
      </c>
      <c r="C25" s="16">
        <f>C5/$T$5</f>
        <v>0.0785797839216318</v>
      </c>
      <c r="D25" s="17">
        <f aca="true" t="shared" si="19" ref="D25:D36">SUM(B25:C25)</f>
        <v>0.21677365633015316</v>
      </c>
      <c r="E25" s="16">
        <f>E5/$T$5</f>
        <v>0.07224735919192235</v>
      </c>
      <c r="F25" s="16">
        <f>F5/$T$5</f>
        <v>0.09098718557990833</v>
      </c>
      <c r="G25" s="17">
        <f aca="true" t="shared" si="20" ref="G25:G36">SUM(E25:F25)</f>
        <v>0.1632345447718307</v>
      </c>
      <c r="H25" s="16">
        <f>H5/$T$5</f>
        <v>0.08606620580202606</v>
      </c>
      <c r="I25" s="16">
        <f>I5/$T$5</f>
        <v>0.07444628325788262</v>
      </c>
      <c r="J25" s="17">
        <f aca="true" t="shared" si="21" ref="J25:J36">SUM(H25:I25)</f>
        <v>0.16051248905990867</v>
      </c>
      <c r="K25" s="16">
        <f>K5/$T$5</f>
        <v>0.07454475734910652</v>
      </c>
      <c r="L25" s="16">
        <f>L5/$T$5</f>
        <v>0.07572644439550556</v>
      </c>
      <c r="M25" s="17">
        <f aca="true" t="shared" si="22" ref="M25:M36">SUM(K25:L25)</f>
        <v>0.1502712017446121</v>
      </c>
      <c r="N25" s="16">
        <f>N5/$T$5</f>
        <v>0.0735600181525274</v>
      </c>
      <c r="O25" s="16">
        <f>O5/$T$5</f>
        <v>0.07070427433889262</v>
      </c>
      <c r="P25" s="17">
        <f aca="true" t="shared" si="23" ref="P25:P36">SUM(N25:O25)</f>
        <v>0.14426429249142003</v>
      </c>
      <c r="Q25" s="16">
        <f>Q5/$T$5</f>
        <v>0.06656836968524939</v>
      </c>
      <c r="R25" s="16">
        <f>R5/$T$5</f>
        <v>0.09837544591682608</v>
      </c>
      <c r="S25" s="17">
        <f aca="true" t="shared" si="24" ref="S25:S36">SUM(Q25:R25)</f>
        <v>0.16494381560207547</v>
      </c>
      <c r="T25" s="16">
        <f aca="true" t="shared" si="25" ref="T25:T36">SUM(B25+C25+E25+F25+H25+I25+K25+L25+N25+O25+Q25+R25)</f>
        <v>1</v>
      </c>
      <c r="U25" s="16">
        <f aca="true" t="shared" si="26" ref="U25:U36">SUM(B25:R25)</f>
        <v>1.8350561843979245</v>
      </c>
      <c r="V25" s="16">
        <f aca="true" t="shared" si="27" ref="V25:V36">U25-T25</f>
        <v>0.8350561843979245</v>
      </c>
    </row>
    <row r="26" spans="1:23" s="22" customFormat="1" ht="24.75" customHeight="1">
      <c r="A26" s="27" t="s">
        <v>39</v>
      </c>
      <c r="B26" s="19">
        <f>B6/$T$6</f>
        <v>0.1918913183190873</v>
      </c>
      <c r="C26" s="19">
        <f>C6/$T$6</f>
        <v>0.06177305888352422</v>
      </c>
      <c r="D26" s="20">
        <f t="shared" si="19"/>
        <v>0.2536643772026115</v>
      </c>
      <c r="E26" s="19">
        <f>E6/$T$6</f>
        <v>0.061472722849440074</v>
      </c>
      <c r="F26" s="19">
        <f>F6/$T$6</f>
        <v>0.06806269766326759</v>
      </c>
      <c r="G26" s="20">
        <f t="shared" si="20"/>
        <v>0.12953542051270767</v>
      </c>
      <c r="H26" s="19">
        <f>H6/$T$6</f>
        <v>0.08562315375756012</v>
      </c>
      <c r="I26" s="19">
        <f>I6/$T$6</f>
        <v>0.07406304826930463</v>
      </c>
      <c r="J26" s="20">
        <f t="shared" si="21"/>
        <v>0.15968620202686473</v>
      </c>
      <c r="K26" s="19">
        <f>K6/$T$6</f>
        <v>0.0741610155749764</v>
      </c>
      <c r="L26" s="19">
        <f>L6/$T$6</f>
        <v>0.0753366194961953</v>
      </c>
      <c r="M26" s="20">
        <f t="shared" si="22"/>
        <v>0.1494976350711717</v>
      </c>
      <c r="N26" s="19">
        <f>N6/$T$6</f>
        <v>0.07318134562419379</v>
      </c>
      <c r="O26" s="19">
        <f>O6/$T$6</f>
        <v>0.07034030253521163</v>
      </c>
      <c r="P26" s="20">
        <f t="shared" si="23"/>
        <v>0.14352164815940543</v>
      </c>
      <c r="Q26" s="19">
        <f>Q6/$T$6</f>
        <v>0.0662256886630438</v>
      </c>
      <c r="R26" s="19">
        <f>R6/$T$6</f>
        <v>0.09786902836419516</v>
      </c>
      <c r="S26" s="20">
        <f t="shared" si="24"/>
        <v>0.16409471702723896</v>
      </c>
      <c r="T26" s="16">
        <f t="shared" si="25"/>
        <v>1</v>
      </c>
      <c r="U26" s="19">
        <f t="shared" si="26"/>
        <v>1.8359052829727611</v>
      </c>
      <c r="V26" s="19">
        <f t="shared" si="27"/>
        <v>0.8359052829727611</v>
      </c>
      <c r="W26" s="21"/>
    </row>
    <row r="27" spans="1:22" s="22" customFormat="1" ht="12.75" customHeight="1">
      <c r="A27" s="19" t="s">
        <v>24</v>
      </c>
      <c r="B27" s="19">
        <f>B7/$T$7</f>
        <v>0.11159772549221071</v>
      </c>
      <c r="C27" s="19">
        <f>C7/$T$7</f>
        <v>0.08567126533998905</v>
      </c>
      <c r="D27" s="20">
        <f>SUM(B27:C27)</f>
        <v>0.19726899083219976</v>
      </c>
      <c r="E27" s="19">
        <f>E7/$T$7</f>
        <v>0.08416015630640648</v>
      </c>
      <c r="F27" s="19">
        <f>F7/$T$7</f>
        <v>0.08637060430072867</v>
      </c>
      <c r="G27" s="20">
        <f t="shared" si="20"/>
        <v>0.17053076060713515</v>
      </c>
      <c r="H27" s="19">
        <f>H7/$T$7</f>
        <v>0.08776096207783057</v>
      </c>
      <c r="I27" s="19">
        <f>I7/$T$7</f>
        <v>0.07591222806732256</v>
      </c>
      <c r="J27" s="20">
        <f t="shared" si="21"/>
        <v>0.16367319014515314</v>
      </c>
      <c r="K27" s="19">
        <f>K7/$T$7</f>
        <v>0.07601264106741161</v>
      </c>
      <c r="L27" s="19">
        <f>L7/$T$7</f>
        <v>0.07721759706848022</v>
      </c>
      <c r="M27" s="20">
        <f t="shared" si="22"/>
        <v>0.15323023813589182</v>
      </c>
      <c r="N27" s="19">
        <f>N7/$T$7</f>
        <v>0.0750085110665211</v>
      </c>
      <c r="O27" s="19">
        <f>O7/$T$7</f>
        <v>0.07209653406393861</v>
      </c>
      <c r="P27" s="20">
        <f t="shared" si="23"/>
        <v>0.1471050451304597</v>
      </c>
      <c r="Q27" s="19">
        <f>Q7/$T$7</f>
        <v>0.06787918806019848</v>
      </c>
      <c r="R27" s="19">
        <f>R7/$T$7</f>
        <v>0.10031258708896194</v>
      </c>
      <c r="S27" s="20">
        <f t="shared" si="24"/>
        <v>0.16819177514916042</v>
      </c>
      <c r="T27" s="16">
        <f t="shared" si="25"/>
        <v>0.9999999999999999</v>
      </c>
      <c r="U27" s="19">
        <f t="shared" si="26"/>
        <v>1.8318082248508396</v>
      </c>
      <c r="V27" s="19">
        <f t="shared" si="27"/>
        <v>0.8318082248508397</v>
      </c>
    </row>
    <row r="28" spans="1:22" s="22" customFormat="1" ht="12.75" customHeight="1">
      <c r="A28" s="19" t="s">
        <v>25</v>
      </c>
      <c r="B28" s="19">
        <f>B8/$T$8</f>
        <v>0.0766224546124214</v>
      </c>
      <c r="C28" s="19">
        <f>C8/$T$8</f>
        <v>0.051627847277344874</v>
      </c>
      <c r="D28" s="20">
        <f t="shared" si="19"/>
        <v>0.12825030188976627</v>
      </c>
      <c r="E28" s="19">
        <f>E8/$T$8</f>
        <v>0.0751596825980604</v>
      </c>
      <c r="F28" s="19">
        <f>F8/$T$8</f>
        <v>0.08808744011653466</v>
      </c>
      <c r="G28" s="20">
        <f t="shared" si="20"/>
        <v>0.16324712271459507</v>
      </c>
      <c r="H28" s="19">
        <f>H8/$T$8</f>
        <v>0.09835312078660688</v>
      </c>
      <c r="I28" s="19">
        <f>I8/$T$8</f>
        <v>0.08507432415866681</v>
      </c>
      <c r="J28" s="20">
        <f t="shared" si="21"/>
        <v>0.1834274449452737</v>
      </c>
      <c r="K28" s="19">
        <f>K8/$T$8</f>
        <v>0.08518685702664673</v>
      </c>
      <c r="L28" s="19">
        <f>L8/$T$8</f>
        <v>0.08653724312440335</v>
      </c>
      <c r="M28" s="20">
        <f t="shared" si="22"/>
        <v>0.17172410015105008</v>
      </c>
      <c r="N28" s="19">
        <f>N8/$T$8</f>
        <v>0.08406153527851622</v>
      </c>
      <c r="O28" s="19">
        <f>O8/$T$8</f>
        <v>0.08079810151577087</v>
      </c>
      <c r="P28" s="20">
        <f t="shared" si="23"/>
        <v>0.16485963679428708</v>
      </c>
      <c r="Q28" s="19">
        <f>Q8/$T$8</f>
        <v>0.07607175017362271</v>
      </c>
      <c r="R28" s="19">
        <f>R8/$T$8</f>
        <v>0.11241964333140517</v>
      </c>
      <c r="S28" s="20">
        <f t="shared" si="24"/>
        <v>0.18849139350502786</v>
      </c>
      <c r="T28" s="16">
        <f t="shared" si="25"/>
        <v>1</v>
      </c>
      <c r="U28" s="19">
        <f t="shared" si="26"/>
        <v>1.8115086064949721</v>
      </c>
      <c r="V28" s="19">
        <f t="shared" si="27"/>
        <v>0.8115086064949721</v>
      </c>
    </row>
    <row r="29" spans="1:22" s="22" customFormat="1" ht="12.75" customHeight="1" hidden="1">
      <c r="A29" s="19" t="s">
        <v>26</v>
      </c>
      <c r="B29" s="19">
        <f>B9/$T$8</f>
        <v>0</v>
      </c>
      <c r="C29" s="19">
        <v>0</v>
      </c>
      <c r="D29" s="20">
        <f t="shared" si="19"/>
        <v>0</v>
      </c>
      <c r="E29" s="19">
        <v>0</v>
      </c>
      <c r="F29" s="19">
        <v>0</v>
      </c>
      <c r="G29" s="20">
        <f t="shared" si="20"/>
        <v>0</v>
      </c>
      <c r="H29" s="19">
        <v>0</v>
      </c>
      <c r="I29" s="19">
        <v>0</v>
      </c>
      <c r="J29" s="20">
        <f t="shared" si="21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3"/>
        <v>0</v>
      </c>
      <c r="Q29" s="19">
        <v>0</v>
      </c>
      <c r="R29" s="19">
        <v>0</v>
      </c>
      <c r="S29" s="20">
        <f t="shared" si="24"/>
        <v>0</v>
      </c>
      <c r="T29" s="16">
        <f t="shared" si="25"/>
        <v>0</v>
      </c>
      <c r="U29" s="19">
        <f t="shared" si="26"/>
        <v>0</v>
      </c>
      <c r="V29" s="19">
        <f t="shared" si="27"/>
        <v>0</v>
      </c>
    </row>
    <row r="30" spans="1:22" s="22" customFormat="1" ht="12.75" customHeight="1">
      <c r="A30" s="19" t="s">
        <v>27</v>
      </c>
      <c r="B30" s="19">
        <f>B10/$T$10</f>
        <v>0.07688266942584503</v>
      </c>
      <c r="C30" s="19">
        <f>C10/$T$10</f>
        <v>0.08837578165169481</v>
      </c>
      <c r="D30" s="20">
        <f t="shared" si="19"/>
        <v>0.16525845107753984</v>
      </c>
      <c r="E30" s="19">
        <f>E10/$T$10</f>
        <v>0.058049030983888986</v>
      </c>
      <c r="F30" s="19">
        <f>F10/$T$10</f>
        <v>0.05290935348199193</v>
      </c>
      <c r="G30" s="20">
        <f t="shared" si="20"/>
        <v>0.11095838446588091</v>
      </c>
      <c r="H30" s="19">
        <f>H10/$T$10</f>
        <v>0.10047434652716808</v>
      </c>
      <c r="I30" s="19">
        <f>I10/$T$10</f>
        <v>0.08690916015393485</v>
      </c>
      <c r="J30" s="20">
        <f t="shared" si="21"/>
        <v>0.18738350668110293</v>
      </c>
      <c r="K30" s="19">
        <f>K10/$T$10</f>
        <v>0.08702411936048769</v>
      </c>
      <c r="L30" s="19">
        <f>L10/$T$10</f>
        <v>0.08840362983912158</v>
      </c>
      <c r="M30" s="20">
        <f t="shared" si="22"/>
        <v>0.17542774919960927</v>
      </c>
      <c r="N30" s="19">
        <f>N10/$T$10</f>
        <v>0.08587452729495945</v>
      </c>
      <c r="O30" s="19">
        <f>O10/$T$10</f>
        <v>0.08254071030492754</v>
      </c>
      <c r="P30" s="20">
        <f t="shared" si="23"/>
        <v>0.168415237599887</v>
      </c>
      <c r="Q30" s="19">
        <f>Q10/$T$10</f>
        <v>0.07771242362970895</v>
      </c>
      <c r="R30" s="19">
        <f>R10/$T$10</f>
        <v>0.11484424734627106</v>
      </c>
      <c r="S30" s="20">
        <f t="shared" si="24"/>
        <v>0.19255667097598</v>
      </c>
      <c r="T30" s="16">
        <f t="shared" si="25"/>
        <v>1</v>
      </c>
      <c r="U30" s="19">
        <f t="shared" si="26"/>
        <v>1.80744332902402</v>
      </c>
      <c r="V30" s="19">
        <f t="shared" si="27"/>
        <v>0.8074433290240199</v>
      </c>
    </row>
    <row r="31" spans="1:22" s="22" customFormat="1" ht="12.75" customHeight="1">
      <c r="A31" s="19" t="s">
        <v>28</v>
      </c>
      <c r="B31" s="19">
        <f>B11/$T$11</f>
        <v>0.1091535109365153</v>
      </c>
      <c r="C31" s="19">
        <f>C11/$T$11</f>
        <v>0.08865118418766203</v>
      </c>
      <c r="D31" s="20">
        <f t="shared" si="19"/>
        <v>0.19780469512417734</v>
      </c>
      <c r="E31" s="19">
        <f>E11/$T$11</f>
        <v>0.0777409846938863</v>
      </c>
      <c r="F31" s="19">
        <f>F11/$T$11</f>
        <v>0.10381469696533262</v>
      </c>
      <c r="G31" s="20">
        <f t="shared" si="20"/>
        <v>0.18155568165921893</v>
      </c>
      <c r="H31" s="19">
        <f>H11/$T$11</f>
        <v>0.08615613569516713</v>
      </c>
      <c r="I31" s="19">
        <f>I11/$T$11</f>
        <v>0.0745240716081766</v>
      </c>
      <c r="J31" s="20">
        <f t="shared" si="21"/>
        <v>0.16068020730334373</v>
      </c>
      <c r="K31" s="19">
        <f>K11/$T$11</f>
        <v>0.07462264850939844</v>
      </c>
      <c r="L31" s="19">
        <f>L11/$T$11</f>
        <v>0.07580557030993192</v>
      </c>
      <c r="M31" s="20">
        <f t="shared" si="22"/>
        <v>0.15042821881933036</v>
      </c>
      <c r="N31" s="19">
        <f>N11/$T$11</f>
        <v>0.07363688036643314</v>
      </c>
      <c r="O31" s="19">
        <f>O11/$T$11</f>
        <v>0.07077815266490846</v>
      </c>
      <c r="P31" s="20">
        <f t="shared" si="23"/>
        <v>0.1444150330313416</v>
      </c>
      <c r="Q31" s="19">
        <f>Q11/$T$11</f>
        <v>0.06663792646445421</v>
      </c>
      <c r="R31" s="19">
        <f>R11/$T$11</f>
        <v>0.09847823759813377</v>
      </c>
      <c r="S31" s="20">
        <f t="shared" si="24"/>
        <v>0.165116164062588</v>
      </c>
      <c r="T31" s="16">
        <f t="shared" si="25"/>
        <v>1</v>
      </c>
      <c r="U31" s="19">
        <f t="shared" si="26"/>
        <v>1.8348838359374118</v>
      </c>
      <c r="V31" s="19">
        <f t="shared" si="27"/>
        <v>0.8348838359374118</v>
      </c>
    </row>
    <row r="32" spans="1:22" s="22" customFormat="1" ht="12.75" customHeight="1">
      <c r="A32" s="19" t="s">
        <v>29</v>
      </c>
      <c r="B32" s="19">
        <f>B12/$T$12</f>
        <v>0.14002068321055858</v>
      </c>
      <c r="C32" s="19">
        <f>C12/$T$12</f>
        <v>0.08696762376663127</v>
      </c>
      <c r="D32" s="20">
        <f t="shared" si="19"/>
        <v>0.22698830697718986</v>
      </c>
      <c r="E32" s="19">
        <f>E12/$T$12</f>
        <v>0.12479861583595583</v>
      </c>
      <c r="F32" s="19">
        <f>F12/$T$12</f>
        <v>0.19341061597002496</v>
      </c>
      <c r="G32" s="20">
        <f t="shared" si="20"/>
        <v>0.3182092318059808</v>
      </c>
      <c r="H32" s="19">
        <f>H12/$T$12</f>
        <v>0.0631349032883591</v>
      </c>
      <c r="I32" s="19">
        <f>I12/$T$12</f>
        <v>0.054610968977116106</v>
      </c>
      <c r="J32" s="20">
        <f t="shared" si="21"/>
        <v>0.11774587226547521</v>
      </c>
      <c r="K32" s="19">
        <f>K12/$T$12</f>
        <v>0.05468320570856732</v>
      </c>
      <c r="L32" s="19">
        <f>L12/$T$12</f>
        <v>0.055550046485981865</v>
      </c>
      <c r="M32" s="20">
        <f t="shared" si="22"/>
        <v>0.11023325219454919</v>
      </c>
      <c r="N32" s="19">
        <f>N12/$T$12</f>
        <v>0.0539608383940552</v>
      </c>
      <c r="O32" s="19">
        <f>O12/$T$12</f>
        <v>0.05186597318197007</v>
      </c>
      <c r="P32" s="20">
        <f t="shared" si="23"/>
        <v>0.10582681157602528</v>
      </c>
      <c r="Q32" s="19">
        <f>Q12/$T$12</f>
        <v>0.048832030461019166</v>
      </c>
      <c r="R32" s="19">
        <f>R12/$T$12</f>
        <v>0.07216449471976058</v>
      </c>
      <c r="S32" s="20">
        <f t="shared" si="24"/>
        <v>0.12099652518077975</v>
      </c>
      <c r="T32" s="16">
        <f t="shared" si="25"/>
        <v>1</v>
      </c>
      <c r="U32" s="19">
        <f t="shared" si="26"/>
        <v>1.8790034748192208</v>
      </c>
      <c r="V32" s="19">
        <f t="shared" si="27"/>
        <v>0.8790034748192208</v>
      </c>
    </row>
    <row r="33" spans="1:22" s="18" customFormat="1" ht="12.75" customHeight="1">
      <c r="A33" s="16" t="s">
        <v>30</v>
      </c>
      <c r="B33" s="16">
        <f>B13/$T$13</f>
        <v>0.041558919723926266</v>
      </c>
      <c r="C33" s="16">
        <f>C13/$T$13</f>
        <v>0.00025820825716145576</v>
      </c>
      <c r="D33" s="17">
        <f t="shared" si="19"/>
        <v>0.04181712798108772</v>
      </c>
      <c r="E33" s="16">
        <f>E13/$T$13</f>
        <v>0.002146438506825121</v>
      </c>
      <c r="F33" s="16">
        <f>F13/$T$13</f>
        <v>0.002685328626316369</v>
      </c>
      <c r="G33" s="17">
        <f t="shared" si="20"/>
        <v>0.00483176713314149</v>
      </c>
      <c r="H33" s="16">
        <f>H13/$T$13</f>
        <v>0.13234257683576586</v>
      </c>
      <c r="I33" s="16">
        <f>I13/$T$13</f>
        <v>0.11447481474581121</v>
      </c>
      <c r="J33" s="17">
        <f t="shared" si="21"/>
        <v>0.24681739158157706</v>
      </c>
      <c r="K33" s="16">
        <f>K13/$T$13</f>
        <v>0.11462623700540069</v>
      </c>
      <c r="L33" s="16">
        <f>L13/$T$13</f>
        <v>0.1164432975569215</v>
      </c>
      <c r="M33" s="17">
        <f t="shared" si="22"/>
        <v>0.23106953456232218</v>
      </c>
      <c r="N33" s="16">
        <f>N13/$T$13</f>
        <v>0.11311201987913334</v>
      </c>
      <c r="O33" s="16">
        <f>O13/$T$13</f>
        <v>0.1087207896659953</v>
      </c>
      <c r="P33" s="17">
        <f t="shared" si="23"/>
        <v>0.22183280954512863</v>
      </c>
      <c r="Q33" s="16">
        <f>Q13/$T$13</f>
        <v>0.10236107773567246</v>
      </c>
      <c r="R33" s="16">
        <f>R13/$T$13</f>
        <v>0.15127029146107043</v>
      </c>
      <c r="S33" s="17">
        <f t="shared" si="24"/>
        <v>0.2536313691967429</v>
      </c>
      <c r="T33" s="16">
        <f t="shared" si="25"/>
        <v>1</v>
      </c>
      <c r="U33" s="16">
        <f t="shared" si="26"/>
        <v>1.746368630803257</v>
      </c>
      <c r="V33" s="16">
        <f t="shared" si="27"/>
        <v>0.7463686308032571</v>
      </c>
    </row>
    <row r="34" spans="1:22" s="22" customFormat="1" ht="12.75" customHeight="1">
      <c r="A34" s="19" t="s">
        <v>31</v>
      </c>
      <c r="B34" s="19">
        <f>B14/$T$14</f>
        <v>0</v>
      </c>
      <c r="C34" s="19">
        <f>C14/$T$14</f>
        <v>0</v>
      </c>
      <c r="D34" s="20">
        <f t="shared" si="19"/>
        <v>0</v>
      </c>
      <c r="E34" s="19">
        <f>E14/$T$14</f>
        <v>0</v>
      </c>
      <c r="F34" s="19">
        <f>F14/$T$14</f>
        <v>0</v>
      </c>
      <c r="G34" s="20">
        <f t="shared" si="20"/>
        <v>0</v>
      </c>
      <c r="H34" s="19">
        <f>H14/$T$14</f>
        <v>0.13636363636363635</v>
      </c>
      <c r="I34" s="19">
        <f>I14/$T$14</f>
        <v>0.14285714285714285</v>
      </c>
      <c r="J34" s="20">
        <f t="shared" si="21"/>
        <v>0.2792207792207792</v>
      </c>
      <c r="K34" s="19">
        <f>K14/$T$14</f>
        <v>0.14285714285714285</v>
      </c>
      <c r="L34" s="19">
        <f>L14/$T$14</f>
        <v>0.14285714285714285</v>
      </c>
      <c r="M34" s="20">
        <f t="shared" si="22"/>
        <v>0.2857142857142857</v>
      </c>
      <c r="N34" s="19">
        <f>N14/$T$14</f>
        <v>0.14285714285714285</v>
      </c>
      <c r="O34" s="19">
        <f>O14/$T$14</f>
        <v>0.14285714285714285</v>
      </c>
      <c r="P34" s="20">
        <f t="shared" si="23"/>
        <v>0.2857142857142857</v>
      </c>
      <c r="Q34" s="19">
        <f>Q14/$T$14</f>
        <v>0.12987012987012986</v>
      </c>
      <c r="R34" s="19">
        <f>R14/$T$14</f>
        <v>0.01948051948051948</v>
      </c>
      <c r="S34" s="20">
        <f t="shared" si="24"/>
        <v>0.14935064935064934</v>
      </c>
      <c r="T34" s="16">
        <f t="shared" si="25"/>
        <v>0.9999999999999998</v>
      </c>
      <c r="U34" s="19">
        <f t="shared" si="26"/>
        <v>1.8506493506493502</v>
      </c>
      <c r="V34" s="19">
        <f t="shared" si="27"/>
        <v>0.8506493506493504</v>
      </c>
    </row>
    <row r="35" spans="1:22" s="22" customFormat="1" ht="12.75" customHeight="1">
      <c r="A35" s="19" t="s">
        <v>32</v>
      </c>
      <c r="B35" s="19">
        <f>B15/$T$15</f>
        <v>0.0037600433400223924</v>
      </c>
      <c r="C35" s="19">
        <f>C15/$T$15</f>
        <v>0.004642505961706173</v>
      </c>
      <c r="D35" s="20">
        <f t="shared" si="19"/>
        <v>0.008402549301728564</v>
      </c>
      <c r="E35" s="19">
        <f>E15/$T$15</f>
        <v>0.0037609334007232304</v>
      </c>
      <c r="F35" s="19">
        <f>F15/$T$15</f>
        <v>0.00370436027422611</v>
      </c>
      <c r="G35" s="20">
        <f t="shared" si="20"/>
        <v>0.007465293674949341</v>
      </c>
      <c r="H35" s="19">
        <f>H15/$T$15</f>
        <v>0.1447253172093121</v>
      </c>
      <c r="I35" s="19">
        <f>I15/$T$15</f>
        <v>0.10854398790698405</v>
      </c>
      <c r="J35" s="20">
        <f t="shared" si="21"/>
        <v>0.25326930511629614</v>
      </c>
      <c r="K35" s="19">
        <f>K15/$T$15</f>
        <v>0.10854398790698405</v>
      </c>
      <c r="L35" s="19">
        <f>L15/$T$15</f>
        <v>0.10854398790698405</v>
      </c>
      <c r="M35" s="20">
        <f t="shared" si="22"/>
        <v>0.2170879758139681</v>
      </c>
      <c r="N35" s="19">
        <f>N15/$T$15</f>
        <v>0.10854398790698405</v>
      </c>
      <c r="O35" s="19">
        <f>O15/$T$15</f>
        <v>0.10854398790698405</v>
      </c>
      <c r="P35" s="20">
        <f t="shared" si="23"/>
        <v>0.2170879758139681</v>
      </c>
      <c r="Q35" s="19">
        <f>Q15/$T$15</f>
        <v>0.1809066465116401</v>
      </c>
      <c r="R35" s="19">
        <f>R15/$T$15</f>
        <v>0.11578025376744966</v>
      </c>
      <c r="S35" s="20">
        <f t="shared" si="24"/>
        <v>0.2966869002790897</v>
      </c>
      <c r="T35" s="16">
        <f t="shared" si="25"/>
        <v>1</v>
      </c>
      <c r="U35" s="19">
        <f t="shared" si="26"/>
        <v>1.7033130997209103</v>
      </c>
      <c r="V35" s="19">
        <f t="shared" si="27"/>
        <v>0.7033130997209103</v>
      </c>
    </row>
    <row r="36" spans="1:22" s="22" customFormat="1" ht="12.75" customHeight="1">
      <c r="A36" s="19" t="s">
        <v>35</v>
      </c>
      <c r="B36" s="19">
        <f>B16/$T$16</f>
        <v>0.13614070996871766</v>
      </c>
      <c r="C36" s="19">
        <f>C16/$T$16</f>
        <v>0.07800401372968807</v>
      </c>
      <c r="D36" s="20">
        <f t="shared" si="19"/>
        <v>0.21414472369840573</v>
      </c>
      <c r="E36" s="19">
        <f>E16/$T$16</f>
        <v>0.00421196720445145</v>
      </c>
      <c r="F36" s="19">
        <f>F16/$T$16</f>
        <v>0.1371780412638222</v>
      </c>
      <c r="G36" s="20">
        <f t="shared" si="20"/>
        <v>0.14139000846827363</v>
      </c>
      <c r="H36" s="19">
        <f>H16/$T$16</f>
        <v>0.07733583213999848</v>
      </c>
      <c r="I36" s="19">
        <f>I16/$T$16</f>
        <v>0.07733583213999848</v>
      </c>
      <c r="J36" s="20">
        <f t="shared" si="21"/>
        <v>0.15467166427999696</v>
      </c>
      <c r="K36" s="19">
        <f>K16/$T$16</f>
        <v>0.07733583213999848</v>
      </c>
      <c r="L36" s="19">
        <f>L16/$T$16</f>
        <v>0.07733583213999848</v>
      </c>
      <c r="M36" s="20">
        <f t="shared" si="22"/>
        <v>0.15467166427999696</v>
      </c>
      <c r="N36" s="19">
        <f>N16/$T$16</f>
        <v>0.07733583213999848</v>
      </c>
      <c r="O36" s="19">
        <f>O16/$T$16</f>
        <v>0.07733583213999848</v>
      </c>
      <c r="P36" s="20">
        <f t="shared" si="23"/>
        <v>0.15467166427999696</v>
      </c>
      <c r="Q36" s="19">
        <f>Q16/$T$16</f>
        <v>0.07733583213999848</v>
      </c>
      <c r="R36" s="19">
        <f>R16/$T$16</f>
        <v>0.10311444285333131</v>
      </c>
      <c r="S36" s="20">
        <f t="shared" si="24"/>
        <v>0.18045027499332977</v>
      </c>
      <c r="T36" s="16">
        <f t="shared" si="25"/>
        <v>1.0000000000000002</v>
      </c>
      <c r="U36" s="19">
        <f t="shared" si="26"/>
        <v>1.81954972500667</v>
      </c>
      <c r="V36" s="19">
        <f t="shared" si="27"/>
        <v>0.8195497250066697</v>
      </c>
    </row>
    <row r="37" spans="1:22" s="22" customFormat="1" ht="12.75" customHeight="1">
      <c r="A37" s="12" t="s">
        <v>34</v>
      </c>
      <c r="B37" s="19">
        <f>B17/$T$17</f>
        <v>0.05498840188431635</v>
      </c>
      <c r="C37" s="19">
        <f>C17/$T$17</f>
        <v>0</v>
      </c>
      <c r="D37" s="20">
        <f>SUM(B37:C37)</f>
        <v>0.05498840188431635</v>
      </c>
      <c r="E37" s="19">
        <f>E17/$T$17</f>
        <v>0.002664435108044396</v>
      </c>
      <c r="F37" s="19">
        <f>F17/$T$17</f>
        <v>0.003197322129653275</v>
      </c>
      <c r="G37" s="20">
        <f>SUM(E37:F37)</f>
        <v>0.005861757237697671</v>
      </c>
      <c r="H37" s="19">
        <f>H17/$T$17</f>
        <v>0.1306686592489918</v>
      </c>
      <c r="I37" s="19">
        <f>I17/$T$17</f>
        <v>0.10686291954026236</v>
      </c>
      <c r="J37" s="20">
        <f>SUM(H37:I37)</f>
        <v>0.23753157878925416</v>
      </c>
      <c r="K37" s="19">
        <f>K17/$T$17</f>
        <v>0.10706466382585038</v>
      </c>
      <c r="L37" s="19">
        <f>L17/$T$17</f>
        <v>0.10948558650809405</v>
      </c>
      <c r="M37" s="20">
        <f>SUM(K37:L37)</f>
        <v>0.21655025033394443</v>
      </c>
      <c r="N37" s="19">
        <f>N17/$T$17</f>
        <v>0.105047228257314</v>
      </c>
      <c r="O37" s="19">
        <f>O17/$T$17</f>
        <v>0.09919666437982406</v>
      </c>
      <c r="P37" s="20">
        <f>SUM(N37:O37)</f>
        <v>0.20424389263713805</v>
      </c>
      <c r="Q37" s="19">
        <f>Q17/$T$17</f>
        <v>0.09072343499197122</v>
      </c>
      <c r="R37" s="19">
        <f>R17/$T$17</f>
        <v>0.19010068412567813</v>
      </c>
      <c r="S37" s="20">
        <f>SUM(Q37:R37)</f>
        <v>0.2808241191176494</v>
      </c>
      <c r="T37" s="16">
        <f>SUM(B37+C37+E37+F37+H37+I37+K37+L37+N37+O37+Q37+R37)</f>
        <v>1</v>
      </c>
      <c r="U37" s="19">
        <f>SUM(B37:R37)</f>
        <v>1.7191758808823507</v>
      </c>
      <c r="V37" s="19">
        <f>U37-T37</f>
        <v>0.7191758808823507</v>
      </c>
    </row>
    <row r="38" spans="1:22" s="1" customFormat="1" ht="12.75" customHeight="1" hidden="1">
      <c r="A38" s="12" t="s">
        <v>38</v>
      </c>
      <c r="B38" s="19">
        <f>B18/$T$17</f>
        <v>0</v>
      </c>
      <c r="C38" s="19" t="e">
        <f>C18/$T$18</f>
        <v>#DIV/0!</v>
      </c>
      <c r="D38" s="20" t="e">
        <f>SUM(B38:C38)</f>
        <v>#DIV/0!</v>
      </c>
      <c r="E38" s="19">
        <f>E18/$T$17</f>
        <v>0</v>
      </c>
      <c r="F38" s="19" t="e">
        <f>F18/$T$18</f>
        <v>#DIV/0!</v>
      </c>
      <c r="G38" s="20" t="e">
        <f>SUM(E38:F38)</f>
        <v>#DIV/0!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 t="e">
        <f>SUM(B38+C38+E38+F38+H38+I38+K38+L38+N38+O38+Q38+R38)</f>
        <v>#DIV/0!</v>
      </c>
      <c r="U38" s="19" t="e">
        <f>U18/$T$18</f>
        <v>#DIV/0!</v>
      </c>
      <c r="V38" s="19" t="e">
        <f>V18/$T$18</f>
        <v>#DIV/0!</v>
      </c>
    </row>
  </sheetData>
  <sheetProtection/>
  <mergeCells count="13">
    <mergeCell ref="K23:T23"/>
    <mergeCell ref="P3:P4"/>
    <mergeCell ref="S3:S4"/>
    <mergeCell ref="B2:J2"/>
    <mergeCell ref="K2:T2"/>
    <mergeCell ref="A22:T22"/>
    <mergeCell ref="A23:A24"/>
    <mergeCell ref="A2:A4"/>
    <mergeCell ref="D3:D4"/>
    <mergeCell ref="G3:G4"/>
    <mergeCell ref="J3:J4"/>
    <mergeCell ref="M3:M4"/>
    <mergeCell ref="B23:J23"/>
  </mergeCells>
  <printOptions horizontalCentered="1"/>
  <pageMargins left="0.2755905511811024" right="0.2755905511811024" top="0.7480314960629921" bottom="0.2755905511811024" header="0.3937007874015748" footer="0.5118110236220472"/>
  <pageSetup horizontalDpi="600" verticalDpi="600"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Diretoria Legislativa 5</cp:lastModifiedBy>
  <cp:lastPrinted>2018-04-02T14:04:09Z</cp:lastPrinted>
  <dcterms:created xsi:type="dcterms:W3CDTF">2005-01-14T10:04:29Z</dcterms:created>
  <dcterms:modified xsi:type="dcterms:W3CDTF">2018-05-29T14:25:35Z</dcterms:modified>
  <cp:category/>
  <cp:version/>
  <cp:contentType/>
  <cp:contentStatus/>
  <cp:revision>2</cp:revision>
</cp:coreProperties>
</file>