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J30" i="1" l="1"/>
  <c r="P30" i="1"/>
  <c r="U30" i="1"/>
  <c r="AB30" i="1"/>
  <c r="AS30" i="1"/>
  <c r="AV29" i="1" l="1"/>
  <c r="AV47" i="1"/>
  <c r="AV21" i="1"/>
  <c r="AV5" i="1"/>
  <c r="BO5" i="1"/>
  <c r="AR20" i="1"/>
  <c r="AV20" i="1" s="1"/>
  <c r="AV10" i="1"/>
  <c r="BQ22" i="1"/>
  <c r="BQ15" i="1"/>
  <c r="AV6" i="1"/>
  <c r="BL15" i="1"/>
  <c r="AV22" i="1"/>
  <c r="AV7" i="1"/>
  <c r="AV8" i="1"/>
  <c r="AV9" i="1"/>
  <c r="AV11" i="1"/>
  <c r="AV12" i="1"/>
  <c r="AV13" i="1"/>
  <c r="AV14" i="1"/>
  <c r="AV15" i="1"/>
  <c r="AV16" i="1"/>
  <c r="AV17" i="1"/>
  <c r="AV18" i="1"/>
  <c r="AV19" i="1"/>
  <c r="AO23" i="1"/>
  <c r="BL19" i="1"/>
  <c r="AH38" i="1" l="1"/>
  <c r="AJ29" i="1"/>
  <c r="AJ47" i="1"/>
  <c r="AJ24" i="1"/>
  <c r="AJ21" i="1"/>
  <c r="AJ20" i="1"/>
  <c r="AJ5" i="1"/>
  <c r="BO21" i="1"/>
  <c r="AA20" i="1"/>
  <c r="AJ2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6" i="1"/>
  <c r="BL22" i="1"/>
  <c r="BQ19" i="1"/>
  <c r="BQ18" i="1" l="1"/>
  <c r="BL18" i="1"/>
  <c r="BE18" i="1"/>
  <c r="BQ30" i="1" l="1"/>
  <c r="E30" i="1"/>
  <c r="X29" i="1"/>
  <c r="X21" i="1" l="1"/>
  <c r="X20" i="1"/>
  <c r="X5" i="1"/>
  <c r="BJ5" i="1"/>
  <c r="X47" i="1"/>
  <c r="X51" i="1"/>
  <c r="X24" i="1"/>
  <c r="X11" i="1"/>
  <c r="X22" i="1"/>
  <c r="X7" i="1"/>
  <c r="X8" i="1"/>
  <c r="X9" i="1"/>
  <c r="X10" i="1"/>
  <c r="X12" i="1"/>
  <c r="X13" i="1"/>
  <c r="X14" i="1"/>
  <c r="X15" i="1"/>
  <c r="X16" i="1"/>
  <c r="X17" i="1"/>
  <c r="X18" i="1"/>
  <c r="X19" i="1"/>
  <c r="X6" i="1"/>
  <c r="BQ10" i="1"/>
  <c r="M29" i="1" l="1"/>
  <c r="M51" i="1"/>
  <c r="M47" i="1"/>
  <c r="B51" i="1"/>
  <c r="M24" i="1"/>
  <c r="G24" i="1"/>
  <c r="L24" i="1"/>
  <c r="M21" i="1" l="1"/>
  <c r="M20" i="1"/>
  <c r="M5" i="1"/>
  <c r="I23" i="1"/>
  <c r="C21" i="1"/>
  <c r="C5" i="1"/>
  <c r="G21" i="1"/>
  <c r="H21" i="1" s="1"/>
  <c r="L21" i="1" s="1"/>
  <c r="N21" i="1" s="1"/>
  <c r="R21" i="1" s="1"/>
  <c r="S21" i="1" s="1"/>
  <c r="W21" i="1" s="1"/>
  <c r="Z21" i="1" s="1"/>
  <c r="AD21" i="1" s="1"/>
  <c r="AE21" i="1" s="1"/>
  <c r="AI21" i="1" s="1"/>
  <c r="AL21" i="1" s="1"/>
  <c r="AP21" i="1" s="1"/>
  <c r="AQ21" i="1" s="1"/>
  <c r="AU21" i="1" s="1"/>
  <c r="AX21" i="1" s="1"/>
  <c r="G20" i="1"/>
  <c r="H20" i="1" s="1"/>
  <c r="L20" i="1" s="1"/>
  <c r="N20" i="1" s="1"/>
  <c r="R20" i="1" s="1"/>
  <c r="S20" i="1" s="1"/>
  <c r="W20" i="1" s="1"/>
  <c r="Z20" i="1" s="1"/>
  <c r="AD20" i="1" s="1"/>
  <c r="AE20" i="1" s="1"/>
  <c r="AI20" i="1" s="1"/>
  <c r="AL20" i="1" s="1"/>
  <c r="AP20" i="1" s="1"/>
  <c r="AQ20" i="1" s="1"/>
  <c r="AU20" i="1" s="1"/>
  <c r="AX20" i="1" s="1"/>
  <c r="E47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G47" i="1" l="1"/>
  <c r="J47" i="1" s="1"/>
  <c r="E22" i="1"/>
  <c r="E18" i="1"/>
  <c r="BQ9" i="1"/>
  <c r="E9" i="1"/>
  <c r="BQ7" i="1"/>
  <c r="E7" i="1"/>
  <c r="BQ6" i="1"/>
  <c r="E6" i="1"/>
  <c r="E19" i="1"/>
  <c r="E17" i="1"/>
  <c r="E16" i="1"/>
  <c r="E14" i="1"/>
  <c r="E13" i="1"/>
  <c r="E12" i="1"/>
  <c r="E11" i="1"/>
  <c r="E10" i="1"/>
  <c r="E8" i="1"/>
  <c r="BO23" i="1" l="1"/>
  <c r="BJ23" i="1"/>
  <c r="E33" i="1"/>
  <c r="G33" i="1" s="1"/>
  <c r="R33" i="1"/>
  <c r="U33" i="1" s="1"/>
  <c r="W33" i="1" s="1"/>
  <c r="AB33" i="1" s="1"/>
  <c r="X33" i="1"/>
  <c r="AJ33" i="1"/>
  <c r="BT33" i="1"/>
  <c r="B42" i="1"/>
  <c r="E42" i="1" s="1"/>
  <c r="M33" i="1" l="1"/>
  <c r="AD33" i="1"/>
  <c r="BH21" i="1"/>
  <c r="BH20" i="1"/>
  <c r="AJ23" i="1" l="1"/>
  <c r="AG33" i="1"/>
  <c r="AI33" i="1"/>
  <c r="BT21" i="1"/>
  <c r="BT20" i="1"/>
  <c r="BT51" i="1"/>
  <c r="AN33" i="1" l="1"/>
  <c r="AP33" i="1"/>
  <c r="AZ33" i="1" s="1"/>
  <c r="BB33" i="1" s="1"/>
  <c r="M23" i="1"/>
  <c r="G8" i="1"/>
  <c r="J8" i="1" s="1"/>
  <c r="B23" i="1"/>
  <c r="BE33" i="1" l="1"/>
  <c r="BG33" i="1"/>
  <c r="BL33" i="1" s="1"/>
  <c r="BH51" i="1"/>
  <c r="AV51" i="1" l="1"/>
  <c r="AJ51" i="1" l="1"/>
  <c r="Q42" i="1" l="1"/>
  <c r="G29" i="1" l="1"/>
  <c r="J29" i="1" s="1"/>
  <c r="E51" i="1" l="1"/>
  <c r="G51" i="1" s="1"/>
  <c r="L51" i="1" l="1"/>
  <c r="R51" i="1" s="1"/>
  <c r="J51" i="1"/>
  <c r="P51" i="1" l="1"/>
  <c r="P42" i="1" s="1"/>
  <c r="R42" i="1" s="1"/>
  <c r="O23" i="1"/>
  <c r="O48" i="1" s="1"/>
  <c r="Q23" i="1"/>
  <c r="T23" i="1"/>
  <c r="V23" i="1"/>
  <c r="AA23" i="1"/>
  <c r="AC23" i="1"/>
  <c r="AF23" i="1"/>
  <c r="AH23" i="1"/>
  <c r="AM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D23" i="1"/>
  <c r="E23" i="1"/>
  <c r="E48" i="1" s="1"/>
  <c r="F23" i="1"/>
  <c r="F48" i="1" s="1"/>
  <c r="K23" i="1"/>
  <c r="B48" i="1"/>
  <c r="D48" i="1" l="1"/>
  <c r="D30" i="1"/>
  <c r="T30" i="1"/>
  <c r="V31" i="1" s="1"/>
  <c r="T48" i="1"/>
  <c r="C30" i="1"/>
  <c r="C48" i="1"/>
  <c r="BT42" i="1"/>
  <c r="K39" i="1"/>
  <c r="K48" i="1"/>
  <c r="I48" i="1"/>
  <c r="K49" i="1" s="1"/>
  <c r="I30" i="1"/>
  <c r="K50" i="1" l="1"/>
  <c r="F49" i="1"/>
  <c r="F50" i="1" s="1"/>
  <c r="M48" i="1"/>
  <c r="M49" i="1" s="1"/>
  <c r="M50" i="1" s="1"/>
  <c r="G48" i="1"/>
  <c r="E49" i="1"/>
  <c r="E50" i="1" s="1"/>
  <c r="M30" i="1"/>
  <c r="F31" i="1"/>
  <c r="K31" i="1"/>
  <c r="E31" i="1"/>
  <c r="G30" i="1"/>
  <c r="BG24" i="1"/>
  <c r="BB24" i="1"/>
  <c r="AV24" i="1"/>
  <c r="BT24" i="1" l="1"/>
  <c r="K32" i="1"/>
  <c r="M31" i="1"/>
  <c r="BH24" i="1"/>
  <c r="Y21" i="1" l="1"/>
  <c r="AO38" i="1"/>
  <c r="Y51" i="1"/>
  <c r="L29" i="1"/>
  <c r="P29" i="1" s="1"/>
  <c r="F42" i="1"/>
  <c r="E38" i="1"/>
  <c r="Y5" i="1"/>
  <c r="G5" i="1"/>
  <c r="H5" i="1" s="1"/>
  <c r="H23" i="1" s="1"/>
  <c r="Y18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J38" i="1"/>
  <c r="AJ38" i="1" l="1"/>
  <c r="R29" i="1"/>
  <c r="U29" i="1" s="1"/>
  <c r="W29" i="1" s="1"/>
  <c r="AB29" i="1" s="1"/>
  <c r="AV38" i="1"/>
  <c r="X42" i="1"/>
  <c r="W42" i="1"/>
  <c r="X38" i="1"/>
  <c r="M38" i="1"/>
  <c r="M42" i="1"/>
  <c r="G42" i="1"/>
  <c r="J42" i="1" s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G38" i="1"/>
  <c r="L16" i="1"/>
  <c r="P16" i="1" s="1"/>
  <c r="L13" i="1"/>
  <c r="P13" i="1" s="1"/>
  <c r="L18" i="1"/>
  <c r="P18" i="1" s="1"/>
  <c r="L22" i="1"/>
  <c r="P2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9" i="1"/>
  <c r="Y24" i="1"/>
  <c r="U51" i="1"/>
  <c r="W51" i="1" s="1"/>
  <c r="AD51" i="1" s="1"/>
  <c r="AG51" i="1" s="1"/>
  <c r="AI51" i="1" s="1"/>
  <c r="B41" i="1"/>
  <c r="BU38" i="1"/>
  <c r="BU41" i="1" s="1"/>
  <c r="L47" i="1"/>
  <c r="P47" i="1" s="1"/>
  <c r="BU50" i="1"/>
  <c r="Y19" i="1"/>
  <c r="Y11" i="1"/>
  <c r="AB51" i="1" l="1"/>
  <c r="H48" i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R16" i="1"/>
  <c r="U16" i="1" s="1"/>
  <c r="R14" i="1"/>
  <c r="U14" i="1" s="1"/>
  <c r="R13" i="1"/>
  <c r="U13" i="1" s="1"/>
  <c r="P38" i="1"/>
  <c r="R47" i="1"/>
  <c r="U47" i="1" s="1"/>
  <c r="E39" i="1"/>
  <c r="E40" i="1" s="1"/>
  <c r="E41" i="1" s="1"/>
  <c r="G23" i="1"/>
  <c r="J23" i="1"/>
  <c r="J48" i="1" s="1"/>
  <c r="J39" i="1" s="1"/>
  <c r="J40" i="1" s="1"/>
  <c r="Y47" i="1"/>
  <c r="L38" i="1"/>
  <c r="AK42" i="1"/>
  <c r="AW42" i="1" s="1"/>
  <c r="L42" i="1"/>
  <c r="R9" i="1"/>
  <c r="U9" i="1" s="1"/>
  <c r="AK24" i="1"/>
  <c r="AW24" i="1" s="1"/>
  <c r="Y22" i="1" l="1"/>
  <c r="U22" i="1"/>
  <c r="J49" i="1"/>
  <c r="J50" i="1" s="1"/>
  <c r="Y29" i="1"/>
  <c r="AK29" i="1" s="1"/>
  <c r="AW29" i="1" s="1"/>
  <c r="H30" i="1"/>
  <c r="L48" i="1"/>
  <c r="AD29" i="1"/>
  <c r="AG29" i="1" s="1"/>
  <c r="W16" i="1"/>
  <c r="AB16" i="1" s="1"/>
  <c r="W10" i="1"/>
  <c r="AB10" i="1" s="1"/>
  <c r="W22" i="1"/>
  <c r="AB22" i="1" s="1"/>
  <c r="W7" i="1"/>
  <c r="AB7" i="1" s="1"/>
  <c r="W13" i="1"/>
  <c r="AB13" i="1" s="1"/>
  <c r="W14" i="1"/>
  <c r="AB14" i="1" s="1"/>
  <c r="W11" i="1"/>
  <c r="AB11" i="1" s="1"/>
  <c r="W17" i="1"/>
  <c r="AB17" i="1" s="1"/>
  <c r="W19" i="1"/>
  <c r="W15" i="1"/>
  <c r="AB15" i="1" s="1"/>
  <c r="W12" i="1"/>
  <c r="AB12" i="1" s="1"/>
  <c r="W18" i="1"/>
  <c r="AB18" i="1" s="1"/>
  <c r="W8" i="1"/>
  <c r="AB8" i="1" s="1"/>
  <c r="N23" i="1"/>
  <c r="N48" i="1" s="1"/>
  <c r="N30" i="1" s="1"/>
  <c r="P31" i="1" s="1"/>
  <c r="P32" i="1" s="1"/>
  <c r="W9" i="1"/>
  <c r="AB9" i="1" s="1"/>
  <c r="L6" i="1"/>
  <c r="P6" i="1" s="1"/>
  <c r="R38" i="1"/>
  <c r="AN51" i="1"/>
  <c r="R5" i="1"/>
  <c r="S5" i="1" s="1"/>
  <c r="W47" i="1"/>
  <c r="U38" i="1"/>
  <c r="AB47" i="1" l="1"/>
  <c r="AB38" i="1" s="1"/>
  <c r="AS51" i="1"/>
  <c r="AU51" i="1" s="1"/>
  <c r="AZ51" i="1" s="1"/>
  <c r="AP51" i="1"/>
  <c r="AB19" i="1"/>
  <c r="W38" i="1"/>
  <c r="L30" i="1"/>
  <c r="J31" i="1"/>
  <c r="J32" i="1" s="1"/>
  <c r="Y38" i="1"/>
  <c r="L39" i="1"/>
  <c r="AI29" i="1"/>
  <c r="AN29" i="1" s="1"/>
  <c r="U42" i="1"/>
  <c r="AD9" i="1"/>
  <c r="AD7" i="1"/>
  <c r="L23" i="1"/>
  <c r="R6" i="1"/>
  <c r="P23" i="1"/>
  <c r="P48" i="1" s="1"/>
  <c r="P49" i="1" s="1"/>
  <c r="P50" i="1" s="1"/>
  <c r="BI42" i="1"/>
  <c r="BB51" i="1" l="1"/>
  <c r="AG7" i="1"/>
  <c r="AI7" i="1" s="1"/>
  <c r="AN7" i="1" s="1"/>
  <c r="AP7" i="1" s="1"/>
  <c r="AS7" i="1" s="1"/>
  <c r="AU7" i="1" s="1"/>
  <c r="AZ7" i="1" s="1"/>
  <c r="BH7" i="1" s="1"/>
  <c r="AG9" i="1"/>
  <c r="AI9" i="1" s="1"/>
  <c r="AN9" i="1" s="1"/>
  <c r="AP9" i="1" s="1"/>
  <c r="AS9" i="1" s="1"/>
  <c r="AD47" i="1"/>
  <c r="R23" i="1"/>
  <c r="U6" i="1"/>
  <c r="P39" i="1"/>
  <c r="M32" i="1"/>
  <c r="AP29" i="1"/>
  <c r="BE51" i="1"/>
  <c r="BG51" i="1" s="1"/>
  <c r="BL51" i="1" s="1"/>
  <c r="AD42" i="1"/>
  <c r="AG42" i="1" s="1"/>
  <c r="AI42" i="1" s="1"/>
  <c r="AB42" i="1"/>
  <c r="AK21" i="1"/>
  <c r="AK15" i="1"/>
  <c r="AK22" i="1"/>
  <c r="S23" i="1"/>
  <c r="AD16" i="1"/>
  <c r="AG16" i="1" s="1"/>
  <c r="AD14" i="1"/>
  <c r="AG14" i="1" s="1"/>
  <c r="AD18" i="1"/>
  <c r="AG18" i="1" s="1"/>
  <c r="AI18" i="1" s="1"/>
  <c r="AN18" i="1" s="1"/>
  <c r="AD13" i="1"/>
  <c r="AG13" i="1" s="1"/>
  <c r="AD15" i="1"/>
  <c r="AG15" i="1" s="1"/>
  <c r="AD22" i="1"/>
  <c r="AG22" i="1" s="1"/>
  <c r="AK18" i="1"/>
  <c r="AK20" i="1"/>
  <c r="AK11" i="1"/>
  <c r="AK16" i="1"/>
  <c r="AK13" i="1"/>
  <c r="AK19" i="1"/>
  <c r="U23" i="1"/>
  <c r="AK9" i="1"/>
  <c r="AW9" i="1" s="1"/>
  <c r="AD19" i="1"/>
  <c r="AG19" i="1" s="1"/>
  <c r="AD12" i="1"/>
  <c r="AG12" i="1" s="1"/>
  <c r="AD10" i="1"/>
  <c r="AG10" i="1" s="1"/>
  <c r="AD11" i="1"/>
  <c r="AG11" i="1" s="1"/>
  <c r="AD8" i="1"/>
  <c r="AG8" i="1" s="1"/>
  <c r="AD17" i="1"/>
  <c r="AG17" i="1" s="1"/>
  <c r="AK47" i="1"/>
  <c r="X23" i="1"/>
  <c r="Y6" i="1"/>
  <c r="AD38" i="1"/>
  <c r="W5" i="1"/>
  <c r="Z5" i="1" s="1"/>
  <c r="BV51" i="1"/>
  <c r="BI51" i="1"/>
  <c r="AS29" i="1" l="1"/>
  <c r="AU29" i="1" s="1"/>
  <c r="AI47" i="1"/>
  <c r="AN47" i="1" s="1"/>
  <c r="AG47" i="1"/>
  <c r="AG38" i="1" s="1"/>
  <c r="AK38" i="1"/>
  <c r="P40" i="1"/>
  <c r="AI38" i="1"/>
  <c r="AN42" i="1"/>
  <c r="AS42" i="1" s="1"/>
  <c r="AU42" i="1" s="1"/>
  <c r="BB42" i="1" s="1"/>
  <c r="BE42" i="1" s="1"/>
  <c r="BG42" i="1" s="1"/>
  <c r="AP42" i="1"/>
  <c r="AI22" i="1"/>
  <c r="AN22" i="1" s="1"/>
  <c r="AI19" i="1"/>
  <c r="AN19" i="1" s="1"/>
  <c r="AI17" i="1"/>
  <c r="AI16" i="1"/>
  <c r="AN16" i="1" s="1"/>
  <c r="AI15" i="1"/>
  <c r="AN15" i="1" s="1"/>
  <c r="AI14" i="1"/>
  <c r="AN14" i="1" s="1"/>
  <c r="AI13" i="1"/>
  <c r="AN13" i="1" s="1"/>
  <c r="AI12" i="1"/>
  <c r="AN12" i="1" s="1"/>
  <c r="AI11" i="1"/>
  <c r="AN11" i="1" s="1"/>
  <c r="AI10" i="1"/>
  <c r="AN10" i="1" s="1"/>
  <c r="AU9" i="1"/>
  <c r="AZ9" i="1" s="1"/>
  <c r="BH9" i="1" s="1"/>
  <c r="AI8" i="1"/>
  <c r="BB7" i="1"/>
  <c r="W6" i="1"/>
  <c r="AB6" i="1" s="1"/>
  <c r="AD6" i="1" s="1"/>
  <c r="AG6" i="1" s="1"/>
  <c r="AW47" i="1"/>
  <c r="AK5" i="1"/>
  <c r="AW5" i="1" s="1"/>
  <c r="Y23" i="1"/>
  <c r="Z23" i="1"/>
  <c r="AZ29" i="1" l="1"/>
  <c r="BH29" i="1" s="1"/>
  <c r="AP47" i="1"/>
  <c r="AS47" i="1" s="1"/>
  <c r="AN8" i="1"/>
  <c r="AP8" i="1" s="1"/>
  <c r="AS8" i="1" s="1"/>
  <c r="AU8" i="1" s="1"/>
  <c r="AZ8" i="1" s="1"/>
  <c r="BH8" i="1" s="1"/>
  <c r="AN38" i="1"/>
  <c r="AP38" i="1" s="1"/>
  <c r="AN17" i="1"/>
  <c r="AP17" i="1" s="1"/>
  <c r="AS17" i="1" s="1"/>
  <c r="AU17" i="1" s="1"/>
  <c r="AZ17" i="1" s="1"/>
  <c r="BH17" i="1" s="1"/>
  <c r="AZ42" i="1"/>
  <c r="BG47" i="1"/>
  <c r="BE38" i="1"/>
  <c r="AP22" i="1"/>
  <c r="AS22" i="1" s="1"/>
  <c r="AP19" i="1"/>
  <c r="AS19" i="1" s="1"/>
  <c r="AP16" i="1"/>
  <c r="AS16" i="1" s="1"/>
  <c r="AW16" i="1" s="1"/>
  <c r="AP14" i="1"/>
  <c r="AS14" i="1" s="1"/>
  <c r="BB9" i="1"/>
  <c r="BG9" i="1" s="1"/>
  <c r="BT9" i="1" s="1"/>
  <c r="BG7" i="1"/>
  <c r="BT7" i="1" s="1"/>
  <c r="W23" i="1"/>
  <c r="AW21" i="1"/>
  <c r="AP18" i="1"/>
  <c r="AP15" i="1"/>
  <c r="AS15" i="1" s="1"/>
  <c r="AW20" i="1"/>
  <c r="AP13" i="1"/>
  <c r="AP12" i="1"/>
  <c r="AS12" i="1" s="1"/>
  <c r="AP11" i="1"/>
  <c r="AP10" i="1"/>
  <c r="AS10" i="1" s="1"/>
  <c r="AK6" i="1"/>
  <c r="AB23" i="1"/>
  <c r="AB48" i="1" s="1"/>
  <c r="AD5" i="1"/>
  <c r="AE5" i="1" s="1"/>
  <c r="AS38" i="1"/>
  <c r="AW13" i="1" l="1"/>
  <c r="AS13" i="1"/>
  <c r="AW18" i="1"/>
  <c r="AS18" i="1"/>
  <c r="AU47" i="1"/>
  <c r="AZ47" i="1" s="1"/>
  <c r="BT29" i="1"/>
  <c r="BV29" i="1" s="1"/>
  <c r="BV32" i="1" s="1"/>
  <c r="BI29" i="1"/>
  <c r="AW11" i="1"/>
  <c r="AS11" i="1"/>
  <c r="BB29" i="1"/>
  <c r="BG29" i="1" s="1"/>
  <c r="AW22" i="1"/>
  <c r="AW19" i="1"/>
  <c r="AW15" i="1"/>
  <c r="AW38" i="1"/>
  <c r="BL38" i="1"/>
  <c r="AU22" i="1"/>
  <c r="AZ22" i="1" s="1"/>
  <c r="BH22" i="1" s="1"/>
  <c r="AU19" i="1"/>
  <c r="AU18" i="1"/>
  <c r="AZ18" i="1" s="1"/>
  <c r="BH18" i="1" s="1"/>
  <c r="BB17" i="1"/>
  <c r="BG17" i="1" s="1"/>
  <c r="BT17" i="1" s="1"/>
  <c r="AU16" i="1"/>
  <c r="AU15" i="1"/>
  <c r="AZ15" i="1" s="1"/>
  <c r="AU14" i="1"/>
  <c r="AU13" i="1"/>
  <c r="AZ13" i="1" s="1"/>
  <c r="BH13" i="1" s="1"/>
  <c r="AU12" i="1"/>
  <c r="AZ12" i="1" s="1"/>
  <c r="BH12" i="1" s="1"/>
  <c r="AU11" i="1"/>
  <c r="AZ11" i="1" s="1"/>
  <c r="BH11" i="1" s="1"/>
  <c r="AU10" i="1"/>
  <c r="BB8" i="1"/>
  <c r="AD23" i="1"/>
  <c r="AE23" i="1"/>
  <c r="AU38" i="1"/>
  <c r="AZ10" i="1" l="1"/>
  <c r="BH10" i="1" s="1"/>
  <c r="BB14" i="1"/>
  <c r="AZ14" i="1"/>
  <c r="BH14" i="1" s="1"/>
  <c r="AZ16" i="1"/>
  <c r="BH16" i="1" s="1"/>
  <c r="BH47" i="1"/>
  <c r="BT47" i="1" s="1"/>
  <c r="BB47" i="1"/>
  <c r="AZ38" i="1"/>
  <c r="BH38" i="1" s="1"/>
  <c r="AZ19" i="1"/>
  <c r="BH19" i="1" s="1"/>
  <c r="BB15" i="1"/>
  <c r="BH15" i="1"/>
  <c r="BT38" i="1"/>
  <c r="BB22" i="1"/>
  <c r="BG19" i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K23" i="1"/>
  <c r="AG23" i="1"/>
  <c r="AG48" i="1" s="1"/>
  <c r="AI6" i="1"/>
  <c r="AN6" i="1" s="1"/>
  <c r="BG38" i="1"/>
  <c r="AI5" i="1"/>
  <c r="AL5" i="1" s="1"/>
  <c r="BI47" i="1"/>
  <c r="BB38" i="1"/>
  <c r="BT19" i="1" l="1"/>
  <c r="BB19" i="1"/>
  <c r="BB16" i="1"/>
  <c r="BB10" i="1"/>
  <c r="BG22" i="1"/>
  <c r="BG21" i="1"/>
  <c r="BG20" i="1"/>
  <c r="BV19" i="1"/>
  <c r="BG18" i="1"/>
  <c r="BT18" i="1" s="1"/>
  <c r="BG13" i="1"/>
  <c r="BT13" i="1" s="1"/>
  <c r="BG12" i="1"/>
  <c r="BT12" i="1" s="1"/>
  <c r="AI23" i="1"/>
  <c r="BN47" i="1"/>
  <c r="BV47" i="1"/>
  <c r="AL23" i="1"/>
  <c r="BI38" i="1"/>
  <c r="BT22" i="1" l="1"/>
  <c r="BV20" i="1"/>
  <c r="BV18" i="1"/>
  <c r="AN23" i="1"/>
  <c r="AN48" i="1" s="1"/>
  <c r="AP6" i="1"/>
  <c r="AS6" i="1" s="1"/>
  <c r="AP5" i="1"/>
  <c r="AQ5" i="1" s="1"/>
  <c r="AL48" i="1"/>
  <c r="BV38" i="1"/>
  <c r="BV41" i="1" s="1"/>
  <c r="V48" i="1"/>
  <c r="V49" i="1" s="1"/>
  <c r="BU30" i="1"/>
  <c r="BF48" i="1"/>
  <c r="BN30" i="1"/>
  <c r="BN32" i="1" s="1"/>
  <c r="AT48" i="1"/>
  <c r="AT39" i="1" s="1"/>
  <c r="AE48" i="1"/>
  <c r="AG49" i="1" s="1"/>
  <c r="Q48" i="1"/>
  <c r="AR48" i="1"/>
  <c r="BO48" i="1"/>
  <c r="BA48" i="1"/>
  <c r="BD48" i="1"/>
  <c r="O30" i="1"/>
  <c r="BF39" i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BQ39" i="1"/>
  <c r="BQ40" i="1" s="1"/>
  <c r="AH48" i="1"/>
  <c r="AM48" i="1"/>
  <c r="Z48" i="1"/>
  <c r="BA39" i="1"/>
  <c r="AB49" i="1" l="1"/>
  <c r="AD48" i="1"/>
  <c r="X48" i="1"/>
  <c r="X49" i="1" s="1"/>
  <c r="X50" i="1" s="1"/>
  <c r="AJ50" i="1" s="1"/>
  <c r="Q49" i="1"/>
  <c r="Q50" i="1" s="1"/>
  <c r="AP48" i="1"/>
  <c r="AN49" i="1"/>
  <c r="AR30" i="1"/>
  <c r="AT49" i="1"/>
  <c r="AM30" i="1"/>
  <c r="AO49" i="1"/>
  <c r="AV48" i="1"/>
  <c r="AC49" i="1"/>
  <c r="AJ48" i="1"/>
  <c r="AJ49" i="1" s="1"/>
  <c r="X39" i="1"/>
  <c r="X40" i="1" s="1"/>
  <c r="Q40" i="1"/>
  <c r="AC40" i="1"/>
  <c r="X30" i="1"/>
  <c r="Q31" i="1"/>
  <c r="Q32" i="1" s="1"/>
  <c r="V32" i="1" s="1"/>
  <c r="V50" i="1"/>
  <c r="AW6" i="1"/>
  <c r="AW23" i="1" s="1"/>
  <c r="AV23" i="1"/>
  <c r="M39" i="1"/>
  <c r="F40" i="1"/>
  <c r="F41" i="1" s="1"/>
  <c r="BO30" i="1"/>
  <c r="BQ49" i="1"/>
  <c r="AL30" i="1"/>
  <c r="AN31" i="1" s="1"/>
  <c r="R30" i="1"/>
  <c r="W30" i="1" s="1"/>
  <c r="BV22" i="1"/>
  <c r="AO39" i="1"/>
  <c r="AV39" i="1" s="1"/>
  <c r="AV40" i="1" s="1"/>
  <c r="AH39" i="1"/>
  <c r="AH40" i="1" s="1"/>
  <c r="G39" i="1"/>
  <c r="R48" i="1"/>
  <c r="AP23" i="1"/>
  <c r="BD30" i="1"/>
  <c r="AQ23" i="1"/>
  <c r="BS48" i="1"/>
  <c r="BS50" i="1" s="1"/>
  <c r="AF30" i="1"/>
  <c r="AH31" i="1" s="1"/>
  <c r="AA30" i="1"/>
  <c r="Z30" i="1"/>
  <c r="AB31" i="1" s="1"/>
  <c r="AE30" i="1"/>
  <c r="AG31" i="1" s="1"/>
  <c r="AI48" i="1"/>
  <c r="S30" i="1"/>
  <c r="AY30" i="1"/>
  <c r="AJ39" i="1" l="1"/>
  <c r="AJ40" i="1" s="1"/>
  <c r="AC50" i="1"/>
  <c r="AH49" i="1" s="1"/>
  <c r="AH50" i="1" s="1"/>
  <c r="AO50" i="1" s="1"/>
  <c r="AT50" i="1" s="1"/>
  <c r="K41" i="1"/>
  <c r="P41" i="1" s="1"/>
  <c r="J41" i="1"/>
  <c r="AC31" i="1"/>
  <c r="AC32" i="1" s="1"/>
  <c r="AJ30" i="1"/>
  <c r="M40" i="1"/>
  <c r="M41" i="1" s="1"/>
  <c r="X41" i="1" s="1"/>
  <c r="X31" i="1"/>
  <c r="X32" i="1" s="1"/>
  <c r="AH32" i="1"/>
  <c r="AV30" i="1"/>
  <c r="AV31" i="1" s="1"/>
  <c r="AO31" i="1"/>
  <c r="AB50" i="1"/>
  <c r="AG50" i="1" s="1"/>
  <c r="AN50" i="1" s="1"/>
  <c r="BQ31" i="1"/>
  <c r="AB32" i="1"/>
  <c r="AG32" i="1" s="1"/>
  <c r="U31" i="1"/>
  <c r="U32" i="1" s="1"/>
  <c r="Y30" i="1"/>
  <c r="Y32" i="1" s="1"/>
  <c r="AB39" i="1"/>
  <c r="AS23" i="1"/>
  <c r="AS48" i="1" s="1"/>
  <c r="AU6" i="1"/>
  <c r="AZ6" i="1" s="1"/>
  <c r="BH6" i="1" s="1"/>
  <c r="BT6" i="1" s="1"/>
  <c r="AU5" i="1"/>
  <c r="AQ48" i="1"/>
  <c r="AS49" i="1" s="1"/>
  <c r="AX5" i="1" l="1"/>
  <c r="BH5" i="1" s="1"/>
  <c r="BT5" i="1" s="1"/>
  <c r="Q41" i="1"/>
  <c r="V41" i="1" s="1"/>
  <c r="AC41" i="1" s="1"/>
  <c r="AH41" i="1" s="1"/>
  <c r="AO32" i="1"/>
  <c r="AB40" i="1"/>
  <c r="AJ31" i="1"/>
  <c r="AJ32" i="1" s="1"/>
  <c r="AS50" i="1"/>
  <c r="AV49" i="1"/>
  <c r="AV50" i="1" s="1"/>
  <c r="AD39" i="1"/>
  <c r="BH23" i="1"/>
  <c r="AU23" i="1"/>
  <c r="AQ30" i="1"/>
  <c r="AS31" i="1" s="1"/>
  <c r="AU48" i="1"/>
  <c r="AK30" i="1"/>
  <c r="AN32" i="1" l="1"/>
  <c r="AV32" i="1"/>
  <c r="AB41" i="1"/>
  <c r="AX23" i="1"/>
  <c r="AX48" i="1" s="1"/>
  <c r="BB5" i="1"/>
  <c r="BB6" i="1"/>
  <c r="AZ23" i="1"/>
  <c r="AZ48" i="1" s="1"/>
  <c r="U39" i="1"/>
  <c r="AK32" i="1"/>
  <c r="AS32" i="1" l="1"/>
  <c r="U40" i="1"/>
  <c r="U41" i="1" s="1"/>
  <c r="AZ49" i="1"/>
  <c r="AZ50" i="1" s="1"/>
  <c r="BC23" i="1"/>
  <c r="BC48" i="1" s="1"/>
  <c r="AT31" i="1"/>
  <c r="AT32" i="1" s="1"/>
  <c r="U48" i="1"/>
  <c r="R39" i="1"/>
  <c r="BB23" i="1"/>
  <c r="AO40" i="1"/>
  <c r="AO41" i="1" s="1"/>
  <c r="AX30" i="1"/>
  <c r="BB48" i="1"/>
  <c r="W39" i="1"/>
  <c r="AD30" i="1"/>
  <c r="U49" i="1" l="1"/>
  <c r="W48" i="1"/>
  <c r="BG5" i="1"/>
  <c r="Y39" i="1"/>
  <c r="Y41" i="1" s="1"/>
  <c r="BE23" i="1"/>
  <c r="BE48" i="1" s="1"/>
  <c r="BH48" i="1" s="1"/>
  <c r="BH49" i="1" s="1"/>
  <c r="BG6" i="1"/>
  <c r="AT40" i="1"/>
  <c r="AT41" i="1" s="1"/>
  <c r="BC30" i="1"/>
  <c r="AG39" i="1"/>
  <c r="AI30" i="1"/>
  <c r="BH50" i="1" l="1"/>
  <c r="AG40" i="1"/>
  <c r="AG41" i="1" s="1"/>
  <c r="AJ41" i="1"/>
  <c r="AV41" i="1" s="1"/>
  <c r="BE31" i="1"/>
  <c r="U50" i="1"/>
  <c r="BE49" i="1"/>
  <c r="BE50" i="1" s="1"/>
  <c r="Y48" i="1"/>
  <c r="Y50" i="1" s="1"/>
  <c r="BJ48" i="1"/>
  <c r="AW30" i="1"/>
  <c r="AW32" i="1" s="1"/>
  <c r="BG48" i="1"/>
  <c r="BG23" i="1"/>
  <c r="AN39" i="1"/>
  <c r="AN40" i="1" s="1"/>
  <c r="AP30" i="1"/>
  <c r="AI39" i="1"/>
  <c r="AN41" i="1" l="1"/>
  <c r="AK39" i="1"/>
  <c r="AK41" i="1" s="1"/>
  <c r="AK48" i="1"/>
  <c r="AK50" i="1" s="1"/>
  <c r="BA31" i="1"/>
  <c r="BA32" i="1" s="1"/>
  <c r="BF31" i="1" s="1"/>
  <c r="BF32" i="1" s="1"/>
  <c r="BA49" i="1"/>
  <c r="BL23" i="1"/>
  <c r="BL48" i="1" s="1"/>
  <c r="BL49" i="1" s="1"/>
  <c r="BL50" i="1" s="1"/>
  <c r="BQ50" i="1" s="1"/>
  <c r="BJ30" i="1"/>
  <c r="BL31" i="1" s="1"/>
  <c r="BV5" i="1"/>
  <c r="AS39" i="1"/>
  <c r="AU30" i="1"/>
  <c r="AZ30" i="1" s="1"/>
  <c r="AP39" i="1"/>
  <c r="AZ31" i="1" l="1"/>
  <c r="AZ32" i="1" s="1"/>
  <c r="BE32" i="1" s="1"/>
  <c r="BH30" i="1"/>
  <c r="BT30" i="1" s="1"/>
  <c r="AS40" i="1"/>
  <c r="AS41" i="1" s="1"/>
  <c r="AW48" i="1"/>
  <c r="AW50" i="1" s="1"/>
  <c r="BT48" i="1"/>
  <c r="BT49" i="1" s="1"/>
  <c r="BT50" i="1" s="1"/>
  <c r="BN48" i="1"/>
  <c r="BA50" i="1"/>
  <c r="BA40" i="1"/>
  <c r="BA41" i="1" s="1"/>
  <c r="BV6" i="1"/>
  <c r="BV23" i="1" s="1"/>
  <c r="BT23" i="1"/>
  <c r="BE39" i="1"/>
  <c r="BE40" i="1" s="1"/>
  <c r="AU39" i="1"/>
  <c r="AZ39" i="1"/>
  <c r="AZ40" i="1" s="1"/>
  <c r="BH31" i="1" l="1"/>
  <c r="BH32" i="1" s="1"/>
  <c r="BL32" i="1" s="1"/>
  <c r="BQ32" i="1" s="1"/>
  <c r="AZ41" i="1"/>
  <c r="BE41" i="1" s="1"/>
  <c r="AW39" i="1"/>
  <c r="AW41" i="1" s="1"/>
  <c r="BV50" i="1"/>
  <c r="BI48" i="1"/>
  <c r="BI50" i="1" s="1"/>
  <c r="BH39" i="1"/>
  <c r="BH40" i="1" s="1"/>
  <c r="BH41" i="1" s="1"/>
  <c r="BB30" i="1"/>
  <c r="BG30" i="1" s="1"/>
  <c r="BF40" i="1"/>
  <c r="BF41" i="1" s="1"/>
  <c r="BF49" i="1"/>
  <c r="BF50" i="1" s="1"/>
  <c r="BM49" i="1" s="1"/>
  <c r="BM50" i="1" s="1"/>
  <c r="BV30" i="1"/>
  <c r="BU32" i="1" s="1"/>
  <c r="BV48" i="1"/>
  <c r="BG39" i="1"/>
  <c r="BI30" i="1"/>
  <c r="BI32" i="1" s="1"/>
  <c r="BB39" i="1"/>
  <c r="BT31" i="1" l="1"/>
  <c r="BT32" i="1" s="1"/>
  <c r="BL39" i="1"/>
  <c r="BL40" i="1" s="1"/>
  <c r="BL41" i="1" s="1"/>
  <c r="BQ41" i="1" s="1"/>
  <c r="BI39" i="1"/>
  <c r="BI41" i="1" s="1"/>
  <c r="BT39" i="1" l="1"/>
  <c r="BT40" i="1" l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<sst xmlns="http://schemas.openxmlformats.org/spreadsheetml/2006/main" count="497" uniqueCount="56">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</sst>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AA20" activePane="bottomRight" state="frozen"/>
      <selection pane="topRight" activeCell="AN1" sqref="AN1"/>
      <selection pane="bottomLeft" activeCell="A5" sqref="A5"/>
      <selection pane="bottomRight" activeCell="BX37" sqref="BX37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customWidth="1"/>
    <col min="28" max="29" width="12.85546875" style="24" customWidth="1"/>
    <col min="30" max="30" width="11.5703125" style="24" customWidth="1"/>
    <col min="31" max="31" width="12.85546875" style="24" customWidth="1"/>
    <col min="32" max="32" width="11.5703125" style="24" customWidth="1"/>
    <col min="33" max="33" width="12.85546875" style="24" customWidth="1"/>
    <col min="34" max="35" width="12.85546875" style="20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customWidth="1"/>
    <col min="40" max="40" width="12.5703125" style="20" customWidth="1"/>
    <col min="41" max="41" width="11.42578125" style="20" customWidth="1"/>
    <col min="42" max="42" width="12.85546875" style="20" customWidth="1"/>
    <col min="43" max="43" width="11.7109375" style="20" customWidth="1"/>
    <col min="44" max="44" width="10.5703125" style="24" customWidth="1"/>
    <col min="45" max="45" width="12.85546875" style="24" customWidth="1"/>
    <col min="46" max="47" width="12.85546875" style="20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9.42578125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5" t="s">
        <v>55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29"/>
      <c r="Z1" s="56" t="s">
        <v>55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29"/>
      <c r="AX1" s="56" t="s">
        <v>55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7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0" t="s">
        <v>0</v>
      </c>
      <c r="B2" s="50" t="s">
        <v>1</v>
      </c>
      <c r="C2" s="50" t="s">
        <v>2</v>
      </c>
      <c r="D2" s="50"/>
      <c r="E2" s="50"/>
      <c r="F2" s="50"/>
      <c r="G2" s="1"/>
      <c r="H2" s="50" t="s">
        <v>3</v>
      </c>
      <c r="I2" s="50"/>
      <c r="J2" s="50"/>
      <c r="K2" s="50"/>
      <c r="L2" s="50"/>
      <c r="M2" s="53" t="s">
        <v>4</v>
      </c>
      <c r="N2" s="50" t="s">
        <v>5</v>
      </c>
      <c r="O2" s="50"/>
      <c r="P2" s="50"/>
      <c r="Q2" s="50"/>
      <c r="R2" s="50"/>
      <c r="S2" s="50" t="s">
        <v>6</v>
      </c>
      <c r="T2" s="50"/>
      <c r="U2" s="50"/>
      <c r="V2" s="50"/>
      <c r="W2" s="50"/>
      <c r="X2" s="53" t="s">
        <v>7</v>
      </c>
      <c r="Y2" s="53" t="s">
        <v>8</v>
      </c>
      <c r="Z2" s="50" t="s">
        <v>9</v>
      </c>
      <c r="AA2" s="50"/>
      <c r="AB2" s="50"/>
      <c r="AC2" s="50"/>
      <c r="AD2" s="50"/>
      <c r="AE2" s="50" t="s">
        <v>10</v>
      </c>
      <c r="AF2" s="50"/>
      <c r="AG2" s="50"/>
      <c r="AH2" s="50"/>
      <c r="AI2" s="50"/>
      <c r="AJ2" s="53" t="s">
        <v>11</v>
      </c>
      <c r="AK2" s="53" t="s">
        <v>8</v>
      </c>
      <c r="AL2" s="50" t="s">
        <v>12</v>
      </c>
      <c r="AM2" s="50"/>
      <c r="AN2" s="50"/>
      <c r="AO2" s="50"/>
      <c r="AP2" s="50"/>
      <c r="AQ2" s="50" t="s">
        <v>13</v>
      </c>
      <c r="AR2" s="50"/>
      <c r="AS2" s="50"/>
      <c r="AT2" s="50"/>
      <c r="AU2" s="50"/>
      <c r="AV2" s="53" t="s">
        <v>14</v>
      </c>
      <c r="AW2" s="53" t="s">
        <v>8</v>
      </c>
      <c r="AX2" s="50" t="s">
        <v>15</v>
      </c>
      <c r="AY2" s="50"/>
      <c r="AZ2" s="50"/>
      <c r="BA2" s="50"/>
      <c r="BB2" s="50"/>
      <c r="BC2" s="50" t="s">
        <v>16</v>
      </c>
      <c r="BD2" s="50"/>
      <c r="BE2" s="50"/>
      <c r="BF2" s="50"/>
      <c r="BG2" s="50"/>
      <c r="BH2" s="53" t="s">
        <v>17</v>
      </c>
      <c r="BI2" s="53" t="s">
        <v>8</v>
      </c>
      <c r="BJ2" s="50" t="s">
        <v>18</v>
      </c>
      <c r="BK2" s="50"/>
      <c r="BL2" s="50"/>
      <c r="BM2" s="50"/>
      <c r="BN2" s="50"/>
      <c r="BO2" s="50" t="s">
        <v>19</v>
      </c>
      <c r="BP2" s="50"/>
      <c r="BQ2" s="50"/>
      <c r="BR2" s="50"/>
      <c r="BS2" s="50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0"/>
      <c r="B3" s="50"/>
      <c r="C3" s="50" t="s">
        <v>21</v>
      </c>
      <c r="D3" s="50"/>
      <c r="E3" s="50" t="s">
        <v>22</v>
      </c>
      <c r="F3" s="50"/>
      <c r="G3" s="50" t="s">
        <v>23</v>
      </c>
      <c r="H3" s="50" t="s">
        <v>21</v>
      </c>
      <c r="I3" s="50"/>
      <c r="J3" s="50" t="s">
        <v>22</v>
      </c>
      <c r="K3" s="50"/>
      <c r="L3" s="50" t="s">
        <v>23</v>
      </c>
      <c r="M3" s="53"/>
      <c r="N3" s="50" t="s">
        <v>21</v>
      </c>
      <c r="O3" s="50"/>
      <c r="P3" s="50" t="s">
        <v>22</v>
      </c>
      <c r="Q3" s="50"/>
      <c r="R3" s="50" t="s">
        <v>23</v>
      </c>
      <c r="S3" s="50" t="s">
        <v>21</v>
      </c>
      <c r="T3" s="50"/>
      <c r="U3" s="50" t="s">
        <v>22</v>
      </c>
      <c r="V3" s="50"/>
      <c r="W3" s="50" t="s">
        <v>23</v>
      </c>
      <c r="X3" s="53"/>
      <c r="Y3" s="53"/>
      <c r="Z3" s="50" t="s">
        <v>21</v>
      </c>
      <c r="AA3" s="50"/>
      <c r="AB3" s="50" t="s">
        <v>22</v>
      </c>
      <c r="AC3" s="50"/>
      <c r="AD3" s="50" t="s">
        <v>23</v>
      </c>
      <c r="AE3" s="50" t="s">
        <v>21</v>
      </c>
      <c r="AF3" s="50"/>
      <c r="AG3" s="50" t="s">
        <v>22</v>
      </c>
      <c r="AH3" s="50"/>
      <c r="AI3" s="50" t="s">
        <v>23</v>
      </c>
      <c r="AJ3" s="53"/>
      <c r="AK3" s="53"/>
      <c r="AL3" s="50" t="s">
        <v>21</v>
      </c>
      <c r="AM3" s="50"/>
      <c r="AN3" s="50" t="s">
        <v>22</v>
      </c>
      <c r="AO3" s="50"/>
      <c r="AP3" s="50" t="s">
        <v>23</v>
      </c>
      <c r="AQ3" s="50" t="s">
        <v>21</v>
      </c>
      <c r="AR3" s="50"/>
      <c r="AS3" s="50" t="s">
        <v>22</v>
      </c>
      <c r="AT3" s="50"/>
      <c r="AU3" s="50" t="s">
        <v>23</v>
      </c>
      <c r="AV3" s="53"/>
      <c r="AW3" s="53"/>
      <c r="AX3" s="50" t="s">
        <v>21</v>
      </c>
      <c r="AY3" s="50"/>
      <c r="AZ3" s="50" t="s">
        <v>22</v>
      </c>
      <c r="BA3" s="50"/>
      <c r="BB3" s="50" t="s">
        <v>23</v>
      </c>
      <c r="BC3" s="50" t="s">
        <v>21</v>
      </c>
      <c r="BD3" s="50"/>
      <c r="BE3" s="50" t="s">
        <v>22</v>
      </c>
      <c r="BF3" s="50"/>
      <c r="BG3" s="50" t="s">
        <v>23</v>
      </c>
      <c r="BH3" s="53"/>
      <c r="BI3" s="53"/>
      <c r="BJ3" s="50" t="s">
        <v>21</v>
      </c>
      <c r="BK3" s="50"/>
      <c r="BL3" s="50" t="s">
        <v>22</v>
      </c>
      <c r="BM3" s="50"/>
      <c r="BN3" s="50"/>
      <c r="BO3" s="50" t="s">
        <v>21</v>
      </c>
      <c r="BP3" s="50"/>
      <c r="BQ3" s="50" t="s">
        <v>22</v>
      </c>
      <c r="BR3" s="50"/>
      <c r="BS3" s="50"/>
      <c r="BT3" s="51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0"/>
      <c r="B4" s="50"/>
      <c r="C4" s="1" t="s">
        <v>24</v>
      </c>
      <c r="D4" s="1" t="s">
        <v>25</v>
      </c>
      <c r="E4" s="1" t="s">
        <v>24</v>
      </c>
      <c r="F4" s="1" t="s">
        <v>25</v>
      </c>
      <c r="G4" s="50"/>
      <c r="H4" s="1" t="s">
        <v>24</v>
      </c>
      <c r="I4" s="1" t="s">
        <v>25</v>
      </c>
      <c r="J4" s="1" t="s">
        <v>24</v>
      </c>
      <c r="K4" s="1" t="s">
        <v>25</v>
      </c>
      <c r="L4" s="50"/>
      <c r="M4" s="53"/>
      <c r="N4" s="1" t="s">
        <v>24</v>
      </c>
      <c r="O4" s="1" t="s">
        <v>25</v>
      </c>
      <c r="P4" s="1" t="s">
        <v>24</v>
      </c>
      <c r="Q4" s="1" t="s">
        <v>25</v>
      </c>
      <c r="R4" s="50"/>
      <c r="S4" s="1" t="s">
        <v>24</v>
      </c>
      <c r="T4" s="1" t="s">
        <v>25</v>
      </c>
      <c r="U4" s="1" t="s">
        <v>24</v>
      </c>
      <c r="V4" s="1" t="s">
        <v>25</v>
      </c>
      <c r="W4" s="50"/>
      <c r="X4" s="53"/>
      <c r="Y4" s="53"/>
      <c r="Z4" s="1" t="s">
        <v>24</v>
      </c>
      <c r="AA4" s="1" t="s">
        <v>25</v>
      </c>
      <c r="AB4" s="1" t="s">
        <v>24</v>
      </c>
      <c r="AC4" s="1" t="s">
        <v>25</v>
      </c>
      <c r="AD4" s="50"/>
      <c r="AE4" s="1" t="s">
        <v>24</v>
      </c>
      <c r="AF4" s="1" t="s">
        <v>25</v>
      </c>
      <c r="AG4" s="1" t="s">
        <v>24</v>
      </c>
      <c r="AH4" s="1" t="s">
        <v>25</v>
      </c>
      <c r="AI4" s="50"/>
      <c r="AJ4" s="53"/>
      <c r="AK4" s="53"/>
      <c r="AL4" s="1" t="s">
        <v>24</v>
      </c>
      <c r="AM4" s="1" t="s">
        <v>25</v>
      </c>
      <c r="AN4" s="1" t="s">
        <v>24</v>
      </c>
      <c r="AO4" s="1" t="s">
        <v>25</v>
      </c>
      <c r="AP4" s="50"/>
      <c r="AQ4" s="1" t="s">
        <v>24</v>
      </c>
      <c r="AR4" s="1" t="s">
        <v>25</v>
      </c>
      <c r="AS4" s="1" t="s">
        <v>24</v>
      </c>
      <c r="AT4" s="1" t="s">
        <v>25</v>
      </c>
      <c r="AU4" s="50"/>
      <c r="AV4" s="53"/>
      <c r="AW4" s="53"/>
      <c r="AX4" s="1" t="s">
        <v>24</v>
      </c>
      <c r="AY4" s="1" t="s">
        <v>25</v>
      </c>
      <c r="AZ4" s="1" t="s">
        <v>24</v>
      </c>
      <c r="BA4" s="1" t="s">
        <v>25</v>
      </c>
      <c r="BB4" s="50"/>
      <c r="BC4" s="1" t="s">
        <v>24</v>
      </c>
      <c r="BD4" s="1" t="s">
        <v>25</v>
      </c>
      <c r="BE4" s="1" t="s">
        <v>24</v>
      </c>
      <c r="BF4" s="1" t="s">
        <v>25</v>
      </c>
      <c r="BG4" s="50"/>
      <c r="BH4" s="53"/>
      <c r="BI4" s="53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2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24150000</v>
      </c>
      <c r="C5" s="6">
        <f>2800000+10000</f>
        <v>2810000</v>
      </c>
      <c r="D5" s="6">
        <v>2804635.95</v>
      </c>
      <c r="E5" s="6"/>
      <c r="F5" s="6"/>
      <c r="G5" s="6">
        <f>C5-D5</f>
        <v>5364.0499999998137</v>
      </c>
      <c r="H5" s="6">
        <f>2500000+G5+150000</f>
        <v>2655364.0499999998</v>
      </c>
      <c r="I5" s="6">
        <v>2638194.0299999998</v>
      </c>
      <c r="J5" s="6"/>
      <c r="K5" s="6"/>
      <c r="L5" s="6">
        <f>H5-I5</f>
        <v>17170.020000000019</v>
      </c>
      <c r="M5" s="7">
        <f>SUM(D5+I5)</f>
        <v>5442829.9800000004</v>
      </c>
      <c r="N5" s="6">
        <f>2500000+L5+135000</f>
        <v>2652170.02</v>
      </c>
      <c r="O5" s="6">
        <v>2647466.75</v>
      </c>
      <c r="P5" s="6"/>
      <c r="Q5" s="6"/>
      <c r="R5" s="6">
        <f>N5-O5</f>
        <v>4703.2700000000186</v>
      </c>
      <c r="S5" s="6">
        <f>2500000+R5</f>
        <v>2504703.27</v>
      </c>
      <c r="T5" s="6">
        <v>2499009.46</v>
      </c>
      <c r="U5" s="6"/>
      <c r="V5" s="6"/>
      <c r="W5" s="6">
        <f>S5-T5</f>
        <v>5693.8100000000559</v>
      </c>
      <c r="X5" s="9">
        <f>O5+T5</f>
        <v>5146476.21</v>
      </c>
      <c r="Y5" s="8">
        <f t="shared" ref="Y5:Y22" si="0">M5+X5</f>
        <v>10589306.190000001</v>
      </c>
      <c r="Z5" s="8">
        <f>2000000+W5+50000</f>
        <v>2055693.81</v>
      </c>
      <c r="AA5" s="8">
        <v>2051712.72</v>
      </c>
      <c r="AB5" s="8"/>
      <c r="AC5" s="8"/>
      <c r="AD5" s="8">
        <f>Z5-AA5</f>
        <v>3981.0900000000838</v>
      </c>
      <c r="AE5" s="8">
        <f>2000000+AD5</f>
        <v>2003981.09</v>
      </c>
      <c r="AF5" s="8">
        <v>1980287.82</v>
      </c>
      <c r="AG5" s="8"/>
      <c r="AH5" s="8"/>
      <c r="AI5" s="8">
        <f>AE5-AF5</f>
        <v>23693.270000000019</v>
      </c>
      <c r="AJ5" s="7">
        <f>AA5+AF5</f>
        <v>4032000.54</v>
      </c>
      <c r="AK5" s="8">
        <f t="shared" ref="AK5:AK22" si="1">Y5+AJ5</f>
        <v>14621306.73</v>
      </c>
      <c r="AL5" s="8">
        <f>1800000+AI5</f>
        <v>1823693.27</v>
      </c>
      <c r="AM5" s="8">
        <v>1823351.12</v>
      </c>
      <c r="AN5" s="8"/>
      <c r="AO5" s="8"/>
      <c r="AP5" s="8">
        <f>AL5-AM5</f>
        <v>342.14999999990687</v>
      </c>
      <c r="AQ5" s="8">
        <f>1800000+AP5+100000</f>
        <v>1900342.15</v>
      </c>
      <c r="AR5" s="8">
        <v>1863846.38</v>
      </c>
      <c r="AS5" s="8"/>
      <c r="AT5" s="8"/>
      <c r="AU5" s="8">
        <f>AQ5-AR5</f>
        <v>36495.770000000019</v>
      </c>
      <c r="AV5" s="7">
        <f>AM5+AR5</f>
        <v>3687197.5</v>
      </c>
      <c r="AW5" s="10">
        <f t="shared" ref="AW5:AW22" si="2">AK5+AV5</f>
        <v>18308504.23</v>
      </c>
      <c r="AX5" s="8">
        <f>1800000+AU5</f>
        <v>1836495.77</v>
      </c>
      <c r="AY5" s="8"/>
      <c r="AZ5" s="8"/>
      <c r="BA5" s="8"/>
      <c r="BB5" s="8">
        <f>AX5-AY5</f>
        <v>1836495.77</v>
      </c>
      <c r="BC5" s="8">
        <v>1800000</v>
      </c>
      <c r="BD5" s="8"/>
      <c r="BE5" s="8"/>
      <c r="BF5" s="8"/>
      <c r="BG5" s="8">
        <f>BC5-BD5</f>
        <v>1800000</v>
      </c>
      <c r="BH5" s="7">
        <f>AX5+BC5</f>
        <v>3636495.77</v>
      </c>
      <c r="BI5" s="10"/>
      <c r="BJ5" s="8">
        <f>1600000-135000</f>
        <v>1465000</v>
      </c>
      <c r="BK5" s="8"/>
      <c r="BL5" s="8"/>
      <c r="BM5" s="8"/>
      <c r="BN5" s="8"/>
      <c r="BO5" s="8">
        <f>1050000-10000-150000-50000-100000</f>
        <v>740000</v>
      </c>
      <c r="BP5" s="8"/>
      <c r="BQ5" s="8"/>
      <c r="BR5" s="8"/>
      <c r="BS5" s="10"/>
      <c r="BT5" s="9">
        <f>M5+X5+AJ5+AV5+BH5+BJ5+BO5</f>
        <v>24150000</v>
      </c>
      <c r="BU5" s="9">
        <f>F5+K5+Q5+V5+AC5+AH5+AO5+AT5+BA5+BF5+BM5+BR5</f>
        <v>0</v>
      </c>
      <c r="BV5" s="11">
        <f>BT5-BU5</f>
        <v>24150000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22275000</v>
      </c>
      <c r="C6" s="6"/>
      <c r="D6" s="7"/>
      <c r="E6" s="6">
        <f>1553146.65-382913.5+300000</f>
        <v>1470233.15</v>
      </c>
      <c r="F6" s="6">
        <v>1433080.94</v>
      </c>
      <c r="G6" s="6">
        <f>E6-F6</f>
        <v>37152.209999999963</v>
      </c>
      <c r="H6" s="12"/>
      <c r="I6" s="6"/>
      <c r="J6" s="6">
        <f>1557178.43+G6</f>
        <v>1594330.64</v>
      </c>
      <c r="K6" s="6">
        <v>1486079.02</v>
      </c>
      <c r="L6" s="6">
        <f>J6-K6</f>
        <v>108251.61999999988</v>
      </c>
      <c r="M6" s="7">
        <f>F6+K6</f>
        <v>2919159.96</v>
      </c>
      <c r="N6" s="13"/>
      <c r="O6" s="13"/>
      <c r="P6" s="6">
        <f>1666236.82+L6+17000</f>
        <v>1791488.44</v>
      </c>
      <c r="Q6" s="6">
        <v>1483082.19</v>
      </c>
      <c r="R6" s="6">
        <f>P6-Q6</f>
        <v>308406.25</v>
      </c>
      <c r="S6" s="12"/>
      <c r="T6" s="12"/>
      <c r="U6" s="6">
        <f>1693189.57+R6-399300+60000</f>
        <v>1662295.82</v>
      </c>
      <c r="V6" s="6">
        <v>1659763.2</v>
      </c>
      <c r="W6" s="6">
        <f>U6-V6</f>
        <v>2532.6200000001118</v>
      </c>
      <c r="X6" s="9">
        <f>Q6+V6</f>
        <v>3142845.3899999997</v>
      </c>
      <c r="Y6" s="8">
        <f t="shared" si="0"/>
        <v>6062005.3499999996</v>
      </c>
      <c r="Z6" s="8"/>
      <c r="AA6" s="8"/>
      <c r="AB6" s="8">
        <f>1889454.6+W6+5136832</f>
        <v>7028819.2200000007</v>
      </c>
      <c r="AC6" s="8">
        <v>1763966.16</v>
      </c>
      <c r="AD6" s="8">
        <f>AB6-AC6</f>
        <v>5264853.0600000005</v>
      </c>
      <c r="AE6" s="10"/>
      <c r="AF6" s="10"/>
      <c r="AG6" s="8">
        <f>1711388.25+AD6-39000</f>
        <v>6937241.3100000005</v>
      </c>
      <c r="AH6" s="8">
        <v>2016077.52</v>
      </c>
      <c r="AI6" s="8">
        <f t="shared" ref="AI6:AI22" si="3">AG6-AH6</f>
        <v>4921163.790000001</v>
      </c>
      <c r="AJ6" s="7">
        <f>AC6+AH6</f>
        <v>3780043.6799999997</v>
      </c>
      <c r="AK6" s="8">
        <f t="shared" si="1"/>
        <v>9842049.0299999993</v>
      </c>
      <c r="AL6" s="10"/>
      <c r="AM6" s="8"/>
      <c r="AN6" s="8">
        <f>1825168.95+AI6-205300</f>
        <v>6541032.7400000012</v>
      </c>
      <c r="AO6" s="8">
        <v>1490085.63</v>
      </c>
      <c r="AP6" s="8">
        <f>AN6-AO6</f>
        <v>5050947.1100000013</v>
      </c>
      <c r="AQ6" s="10"/>
      <c r="AR6" s="10"/>
      <c r="AS6" s="8">
        <f>1866444.52-60000+AP6-478368.88</f>
        <v>6379022.7500000009</v>
      </c>
      <c r="AT6" s="8">
        <v>1443247.29</v>
      </c>
      <c r="AU6" s="8">
        <f>AS6-AT6</f>
        <v>4935775.4600000009</v>
      </c>
      <c r="AV6" s="7">
        <f>AO6+AT6</f>
        <v>2933332.92</v>
      </c>
      <c r="AW6" s="10">
        <f t="shared" si="2"/>
        <v>12775381.949999999</v>
      </c>
      <c r="AX6" s="10"/>
      <c r="AY6" s="10"/>
      <c r="AZ6" s="8">
        <f>1708002.46+AU6</f>
        <v>6643777.9200000009</v>
      </c>
      <c r="BA6" s="8"/>
      <c r="BB6" s="8">
        <f>AZ6-BA6</f>
        <v>6643777.9200000009</v>
      </c>
      <c r="BC6" s="10"/>
      <c r="BD6" s="10"/>
      <c r="BE6" s="8">
        <v>1757631.15</v>
      </c>
      <c r="BF6" s="8"/>
      <c r="BG6" s="8">
        <f>BE6-BF6</f>
        <v>1757631.15</v>
      </c>
      <c r="BH6" s="7">
        <f t="shared" ref="BH6:BH22" si="4">AZ6+BE6</f>
        <v>8401409.0700000003</v>
      </c>
      <c r="BI6" s="10"/>
      <c r="BJ6" s="10"/>
      <c r="BK6" s="10"/>
      <c r="BL6" s="8">
        <v>2280848.62</v>
      </c>
      <c r="BM6" s="8"/>
      <c r="BN6" s="10"/>
      <c r="BO6" s="10"/>
      <c r="BP6" s="10"/>
      <c r="BQ6" s="8">
        <f>2766309.98-300000</f>
        <v>2466309.98</v>
      </c>
      <c r="BR6" s="8"/>
      <c r="BS6" s="10"/>
      <c r="BT6" s="9">
        <f>M6+X6+AJ6+AV6+BH6+BL6+BQ6</f>
        <v>25923949.620000001</v>
      </c>
      <c r="BU6" s="9">
        <f>F6+K6+Q6+V6+AC6+AH6+AO6+AT6+BA6+BF6+BM6+BR6</f>
        <v>12775381.949999999</v>
      </c>
      <c r="BV6" s="11">
        <f>BT6-BU6</f>
        <v>13148567.670000002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3771000</v>
      </c>
      <c r="C7" s="6"/>
      <c r="D7" s="7"/>
      <c r="E7" s="6">
        <f>262936.75+40000</f>
        <v>302936.75</v>
      </c>
      <c r="F7" s="6">
        <v>294277.15999999997</v>
      </c>
      <c r="G7" s="6">
        <f t="shared" ref="G7:G22" si="5">E7-F7</f>
        <v>8659.5900000000256</v>
      </c>
      <c r="H7" s="12"/>
      <c r="I7" s="6"/>
      <c r="J7" s="6">
        <f>263619.29+G7+87170</f>
        <v>359448.88</v>
      </c>
      <c r="K7" s="6">
        <v>296851.40999999997</v>
      </c>
      <c r="L7" s="6">
        <f t="shared" ref="L7:L22" si="6">J7-K7</f>
        <v>62597.47000000003</v>
      </c>
      <c r="M7" s="7">
        <f t="shared" ref="M7:M19" si="7">F7+K7</f>
        <v>591128.56999999995</v>
      </c>
      <c r="N7" s="13"/>
      <c r="O7" s="13"/>
      <c r="P7" s="6">
        <f>282082.11+L7</f>
        <v>344679.58</v>
      </c>
      <c r="Q7" s="6">
        <v>296295.3</v>
      </c>
      <c r="R7" s="6">
        <f t="shared" ref="R7:R22" si="8">P7-Q7</f>
        <v>48384.280000000028</v>
      </c>
      <c r="S7" s="12"/>
      <c r="T7" s="12"/>
      <c r="U7" s="6">
        <f>286645.03+R7+291500</f>
        <v>626529.31000000006</v>
      </c>
      <c r="V7" s="6">
        <v>309260.55</v>
      </c>
      <c r="W7" s="6">
        <f>U7-V7</f>
        <v>317268.76000000007</v>
      </c>
      <c r="X7" s="9">
        <f t="shared" ref="X7:X19" si="9">Q7+V7</f>
        <v>605555.85</v>
      </c>
      <c r="Y7" s="8"/>
      <c r="Z7" s="8"/>
      <c r="AA7" s="8"/>
      <c r="AB7" s="8">
        <f>319871.3+W7-22000</f>
        <v>615140.06000000006</v>
      </c>
      <c r="AC7" s="8">
        <v>306309.57</v>
      </c>
      <c r="AD7" s="8">
        <f t="shared" ref="AD7:AD22" si="10">AB7-AC7</f>
        <v>308830.49000000005</v>
      </c>
      <c r="AE7" s="10"/>
      <c r="AF7" s="10"/>
      <c r="AG7" s="8">
        <f>289725.93+AD7+10000</f>
        <v>608556.42000000004</v>
      </c>
      <c r="AH7" s="8">
        <v>363970.68</v>
      </c>
      <c r="AI7" s="8">
        <f t="shared" si="3"/>
        <v>244585.74000000005</v>
      </c>
      <c r="AJ7" s="7">
        <f t="shared" ref="AJ7:AJ19" si="11">AC7+AH7</f>
        <v>670280.25</v>
      </c>
      <c r="AK7" s="8"/>
      <c r="AL7" s="10"/>
      <c r="AM7" s="8"/>
      <c r="AN7" s="8">
        <f>308988.2+AI7</f>
        <v>553573.94000000006</v>
      </c>
      <c r="AO7" s="8">
        <v>364117.77</v>
      </c>
      <c r="AP7" s="8">
        <f>AN7-AO7</f>
        <v>189456.17000000004</v>
      </c>
      <c r="AQ7" s="10"/>
      <c r="AR7" s="10"/>
      <c r="AS7" s="8">
        <f>315975.86+AP7+110000</f>
        <v>615432.03</v>
      </c>
      <c r="AT7" s="8">
        <v>352321.98</v>
      </c>
      <c r="AU7" s="8">
        <f t="shared" ref="AU7:AU22" si="12">AS7-AT7</f>
        <v>263110.05000000005</v>
      </c>
      <c r="AV7" s="7">
        <f t="shared" ref="AV7:AV19" si="13">AO7+AT7</f>
        <v>716439.75</v>
      </c>
      <c r="AW7" s="10"/>
      <c r="AX7" s="10"/>
      <c r="AY7" s="10"/>
      <c r="AZ7" s="8">
        <f>289152.74+AU7</f>
        <v>552262.79</v>
      </c>
      <c r="BA7" s="8"/>
      <c r="BB7" s="8">
        <f t="shared" ref="BB7:BB22" si="14">AZ7-BA7</f>
        <v>552262.79</v>
      </c>
      <c r="BC7" s="10"/>
      <c r="BD7" s="10"/>
      <c r="BE7" s="8">
        <v>297554.53000000003</v>
      </c>
      <c r="BF7" s="8"/>
      <c r="BG7" s="8">
        <f t="shared" ref="BG7:BG22" si="15">BE7-BF7</f>
        <v>297554.53000000003</v>
      </c>
      <c r="BH7" s="9">
        <f t="shared" si="4"/>
        <v>849817.32000000007</v>
      </c>
      <c r="BI7" s="10"/>
      <c r="BJ7" s="10"/>
      <c r="BK7" s="10"/>
      <c r="BL7" s="8">
        <v>386131.54</v>
      </c>
      <c r="BM7" s="8"/>
      <c r="BN7" s="10"/>
      <c r="BO7" s="10"/>
      <c r="BP7" s="10"/>
      <c r="BQ7" s="8">
        <f>468316.72-40000</f>
        <v>428316.72</v>
      </c>
      <c r="BR7" s="8"/>
      <c r="BS7" s="10"/>
      <c r="BT7" s="9">
        <f t="shared" ref="BT7:BT22" si="16">M7+X7+AJ7+AV7+BH7+BL7+BQ7</f>
        <v>4247670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10193000</v>
      </c>
      <c r="C8" s="6"/>
      <c r="D8" s="7"/>
      <c r="E8" s="6">
        <f>710717.13+478000</f>
        <v>1188717.1299999999</v>
      </c>
      <c r="F8" s="6">
        <v>670859.9</v>
      </c>
      <c r="G8" s="6">
        <f t="shared" si="5"/>
        <v>517857.22999999986</v>
      </c>
      <c r="H8" s="12"/>
      <c r="I8" s="6"/>
      <c r="J8" s="6">
        <f>712562.06+G8</f>
        <v>1230419.29</v>
      </c>
      <c r="K8" s="6">
        <v>658034.05000000005</v>
      </c>
      <c r="L8" s="6">
        <f t="shared" si="6"/>
        <v>572385.24</v>
      </c>
      <c r="M8" s="7">
        <f t="shared" si="7"/>
        <v>1328893.9500000002</v>
      </c>
      <c r="N8" s="13"/>
      <c r="O8" s="13"/>
      <c r="P8" s="6">
        <f>762466.97+L8</f>
        <v>1334852.21</v>
      </c>
      <c r="Q8" s="6">
        <v>870261.8</v>
      </c>
      <c r="R8" s="6">
        <f t="shared" si="8"/>
        <v>464590.40999999992</v>
      </c>
      <c r="S8" s="12"/>
      <c r="T8" s="12"/>
      <c r="U8" s="6">
        <f>774800.5+R8-50000</f>
        <v>1189390.9099999999</v>
      </c>
      <c r="V8" s="6">
        <v>781272.12</v>
      </c>
      <c r="W8" s="6">
        <f t="shared" ref="W8:W22" si="17">U8-V8</f>
        <v>408118.78999999992</v>
      </c>
      <c r="X8" s="9">
        <f t="shared" si="9"/>
        <v>1651533.92</v>
      </c>
      <c r="Y8" s="8"/>
      <c r="Z8" s="8"/>
      <c r="AA8" s="8"/>
      <c r="AB8" s="8">
        <f>864611.03+W8+248400</f>
        <v>1521129.8199999998</v>
      </c>
      <c r="AC8" s="8">
        <v>905292.7</v>
      </c>
      <c r="AD8" s="8">
        <f t="shared" si="10"/>
        <v>615837.11999999988</v>
      </c>
      <c r="AE8" s="10"/>
      <c r="AF8" s="10"/>
      <c r="AG8" s="8">
        <f>783128.19+AD8+525100</f>
        <v>1924065.3099999998</v>
      </c>
      <c r="AH8" s="8">
        <v>918512.63</v>
      </c>
      <c r="AI8" s="8">
        <f>AG8-AH8</f>
        <v>1005552.6799999998</v>
      </c>
      <c r="AJ8" s="7">
        <f t="shared" si="11"/>
        <v>1823805.33</v>
      </c>
      <c r="AK8" s="8"/>
      <c r="AL8" s="10"/>
      <c r="AM8" s="8"/>
      <c r="AN8" s="8">
        <f>835194.03+AI8</f>
        <v>1840746.71</v>
      </c>
      <c r="AO8" s="8">
        <v>752090.08</v>
      </c>
      <c r="AP8" s="8">
        <f t="shared" ref="AP8:AP22" si="18">AN8-AO8</f>
        <v>1088656.6299999999</v>
      </c>
      <c r="AQ8" s="10"/>
      <c r="AR8" s="10"/>
      <c r="AS8" s="8">
        <f>854081.66+AP8</f>
        <v>1942738.29</v>
      </c>
      <c r="AT8" s="8">
        <v>1204924.82</v>
      </c>
      <c r="AU8" s="8">
        <f t="shared" si="12"/>
        <v>737813.47</v>
      </c>
      <c r="AV8" s="7">
        <f t="shared" si="13"/>
        <v>1957014.9</v>
      </c>
      <c r="AW8" s="10"/>
      <c r="AX8" s="10"/>
      <c r="AY8" s="10"/>
      <c r="AZ8" s="8">
        <f>781578.85+AU8</f>
        <v>1519392.3199999998</v>
      </c>
      <c r="BA8" s="8"/>
      <c r="BB8" s="8">
        <f t="shared" si="14"/>
        <v>1519392.3199999998</v>
      </c>
      <c r="BC8" s="10"/>
      <c r="BD8" s="10"/>
      <c r="BE8" s="8">
        <v>804288.86</v>
      </c>
      <c r="BF8" s="8"/>
      <c r="BG8" s="8">
        <f t="shared" si="15"/>
        <v>804288.86</v>
      </c>
      <c r="BH8" s="9">
        <f t="shared" si="4"/>
        <v>2323681.1799999997</v>
      </c>
      <c r="BI8" s="10"/>
      <c r="BJ8" s="10"/>
      <c r="BK8" s="10"/>
      <c r="BL8" s="8">
        <v>1043712.24</v>
      </c>
      <c r="BM8" s="8"/>
      <c r="BN8" s="10"/>
      <c r="BO8" s="10"/>
      <c r="BP8" s="10"/>
      <c r="BQ8" s="8">
        <v>1265858.48</v>
      </c>
      <c r="BR8" s="8"/>
      <c r="BS8" s="10"/>
      <c r="BT8" s="9">
        <f>M8+X8+AJ8+AV8+BH8+BL8+BQ8</f>
        <v>11394500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17497000</v>
      </c>
      <c r="C9" s="6"/>
      <c r="D9" s="7"/>
      <c r="E9" s="6">
        <f>1219995.81+10000+140000</f>
        <v>1369995.81</v>
      </c>
      <c r="F9" s="6">
        <v>1368274.38</v>
      </c>
      <c r="G9" s="6">
        <f t="shared" si="5"/>
        <v>1721.4300000001676</v>
      </c>
      <c r="H9" s="12"/>
      <c r="I9" s="6"/>
      <c r="J9" s="6">
        <f>1223162.78+G9+165000</f>
        <v>1389884.2100000002</v>
      </c>
      <c r="K9" s="6">
        <v>1378092.21</v>
      </c>
      <c r="L9" s="6">
        <f t="shared" si="6"/>
        <v>11792.000000000233</v>
      </c>
      <c r="M9" s="7">
        <f t="shared" si="7"/>
        <v>2746366.59</v>
      </c>
      <c r="N9" s="13"/>
      <c r="O9" s="13"/>
      <c r="P9" s="6">
        <f>1308828.09+L9</f>
        <v>1320620.0900000003</v>
      </c>
      <c r="Q9" s="6">
        <v>1308097.23</v>
      </c>
      <c r="R9" s="6">
        <f t="shared" si="8"/>
        <v>12522.860000000335</v>
      </c>
      <c r="S9" s="12"/>
      <c r="T9" s="12"/>
      <c r="U9" s="6">
        <f>1329999.46+R9+30000</f>
        <v>1372522.3200000003</v>
      </c>
      <c r="V9" s="6">
        <v>1372373.02</v>
      </c>
      <c r="W9" s="6">
        <f t="shared" si="17"/>
        <v>149.3000000002794</v>
      </c>
      <c r="X9" s="9">
        <f t="shared" si="9"/>
        <v>2680470.25</v>
      </c>
      <c r="Y9" s="8">
        <f t="shared" si="0"/>
        <v>5426836.8399999999</v>
      </c>
      <c r="Z9" s="8"/>
      <c r="AA9" s="8"/>
      <c r="AB9" s="8">
        <f>1484165.53+W9-30000</f>
        <v>1454314.8300000003</v>
      </c>
      <c r="AC9" s="8">
        <v>1296380.17</v>
      </c>
      <c r="AD9" s="8">
        <f t="shared" si="10"/>
        <v>157934.66000000038</v>
      </c>
      <c r="AE9" s="10"/>
      <c r="AF9" s="10"/>
      <c r="AG9" s="8">
        <f>1344294.51+AD9+39000</f>
        <v>1541229.1700000004</v>
      </c>
      <c r="AH9" s="8">
        <v>1268377.1200000001</v>
      </c>
      <c r="AI9" s="8">
        <f t="shared" si="3"/>
        <v>272852.05000000028</v>
      </c>
      <c r="AJ9" s="7">
        <f t="shared" si="11"/>
        <v>2564757.29</v>
      </c>
      <c r="AK9" s="8">
        <f t="shared" si="1"/>
        <v>7991594.1299999999</v>
      </c>
      <c r="AL9" s="10"/>
      <c r="AM9" s="8"/>
      <c r="AN9" s="8">
        <f>1433669.19+AI9+677000</f>
        <v>2383521.2400000002</v>
      </c>
      <c r="AO9" s="8">
        <v>1647896.11</v>
      </c>
      <c r="AP9" s="8">
        <f t="shared" si="18"/>
        <v>735625.13000000012</v>
      </c>
      <c r="AQ9" s="10"/>
      <c r="AR9" s="10"/>
      <c r="AS9" s="8">
        <f>1466091.13+AP9+103100</f>
        <v>2304816.2599999998</v>
      </c>
      <c r="AT9" s="8">
        <v>1404617.84</v>
      </c>
      <c r="AU9" s="8">
        <f t="shared" si="12"/>
        <v>900198.41999999969</v>
      </c>
      <c r="AV9" s="7">
        <f t="shared" si="13"/>
        <v>3052513.95</v>
      </c>
      <c r="AW9" s="10">
        <f t="shared" si="2"/>
        <v>11044108.08</v>
      </c>
      <c r="AX9" s="10"/>
      <c r="AY9" s="10"/>
      <c r="AZ9" s="8">
        <f>1341634.97+AU9</f>
        <v>2241833.3899999997</v>
      </c>
      <c r="BA9" s="8"/>
      <c r="BB9" s="8">
        <f t="shared" si="14"/>
        <v>2241833.3899999997</v>
      </c>
      <c r="BC9" s="10"/>
      <c r="BD9" s="10"/>
      <c r="BE9" s="8">
        <v>1380618.28</v>
      </c>
      <c r="BF9" s="8"/>
      <c r="BG9" s="8">
        <f t="shared" si="15"/>
        <v>1380618.28</v>
      </c>
      <c r="BH9" s="9">
        <f t="shared" si="4"/>
        <v>3622451.67</v>
      </c>
      <c r="BI9" s="10"/>
      <c r="BJ9" s="10"/>
      <c r="BK9" s="10"/>
      <c r="BL9" s="8">
        <v>1791605.32</v>
      </c>
      <c r="BM9" s="8"/>
      <c r="BN9" s="10"/>
      <c r="BO9" s="10"/>
      <c r="BP9" s="10"/>
      <c r="BQ9" s="8">
        <f>2172934.93-140000</f>
        <v>2032934.9300000002</v>
      </c>
      <c r="BR9" s="8"/>
      <c r="BS9" s="10"/>
      <c r="BT9" s="9">
        <f t="shared" si="16"/>
        <v>18491100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90857055</v>
      </c>
      <c r="C10" s="6"/>
      <c r="D10" s="7"/>
      <c r="E10" s="6">
        <f>6335099.03+3047481.29</f>
        <v>9382580.3200000003</v>
      </c>
      <c r="F10" s="6">
        <v>7133576.7599999998</v>
      </c>
      <c r="G10" s="6">
        <f t="shared" si="5"/>
        <v>2249003.5600000005</v>
      </c>
      <c r="H10" s="12"/>
      <c r="I10" s="6"/>
      <c r="J10" s="6">
        <f>6351544.14+G10+495789.34</f>
        <v>9096337.0399999991</v>
      </c>
      <c r="K10" s="6">
        <v>8538028.9399999995</v>
      </c>
      <c r="L10" s="6">
        <f t="shared" si="6"/>
        <v>558308.09999999963</v>
      </c>
      <c r="M10" s="7">
        <f t="shared" si="7"/>
        <v>15671605.699999999</v>
      </c>
      <c r="N10" s="13"/>
      <c r="O10" s="13"/>
      <c r="P10" s="6">
        <f>6796380.29+L10+690432.78+200000</f>
        <v>8245121.1699999999</v>
      </c>
      <c r="Q10" s="6">
        <v>8205646.3799999999</v>
      </c>
      <c r="R10" s="6">
        <f t="shared" si="8"/>
        <v>39474.790000000037</v>
      </c>
      <c r="S10" s="12"/>
      <c r="T10" s="12"/>
      <c r="U10" s="6">
        <f>6906317.34+R10+8711811.28</f>
        <v>15657603.41</v>
      </c>
      <c r="V10" s="6">
        <v>7732979.7999999998</v>
      </c>
      <c r="W10" s="6">
        <f t="shared" si="17"/>
        <v>7924623.6100000003</v>
      </c>
      <c r="X10" s="9">
        <f t="shared" si="9"/>
        <v>15938626.18</v>
      </c>
      <c r="Y10" s="8"/>
      <c r="Z10" s="8"/>
      <c r="AA10" s="8"/>
      <c r="AB10" s="8">
        <f>7706858.84+W10+427370.38</f>
        <v>16058852.83</v>
      </c>
      <c r="AC10" s="8">
        <v>9389845.0500000007</v>
      </c>
      <c r="AD10" s="8">
        <f t="shared" si="10"/>
        <v>6669007.7799999993</v>
      </c>
      <c r="AE10" s="10"/>
      <c r="AF10" s="10"/>
      <c r="AG10" s="8">
        <f>6980547.53+AD10+2118146.14</f>
        <v>15767701.449999999</v>
      </c>
      <c r="AH10" s="8">
        <v>10306650.74</v>
      </c>
      <c r="AI10" s="8">
        <f t="shared" si="3"/>
        <v>5461050.709999999</v>
      </c>
      <c r="AJ10" s="7">
        <f t="shared" si="11"/>
        <v>19696495.789999999</v>
      </c>
      <c r="AK10" s="8"/>
      <c r="AL10" s="10"/>
      <c r="AM10" s="8"/>
      <c r="AN10" s="8">
        <f>7444645.37+AI10+1439606.02</f>
        <v>14345302.099999998</v>
      </c>
      <c r="AO10" s="8">
        <v>9201819.9299999997</v>
      </c>
      <c r="AP10" s="8">
        <f t="shared" si="18"/>
        <v>5143482.1699999981</v>
      </c>
      <c r="AQ10" s="10"/>
      <c r="AR10" s="10"/>
      <c r="AS10" s="8">
        <f>7613003.48+AP10+3927511.04</f>
        <v>16683996.689999998</v>
      </c>
      <c r="AT10" s="8">
        <v>10791537.18</v>
      </c>
      <c r="AU10" s="8">
        <f t="shared" si="12"/>
        <v>5892459.5099999979</v>
      </c>
      <c r="AV10" s="7">
        <f>AO10+AT10</f>
        <v>19993357.109999999</v>
      </c>
      <c r="AW10" s="10"/>
      <c r="AX10" s="10"/>
      <c r="AY10" s="10"/>
      <c r="AZ10" s="8">
        <f>6966737.27+AU10</f>
        <v>12859196.779999997</v>
      </c>
      <c r="BA10" s="8"/>
      <c r="BB10" s="8">
        <f t="shared" si="14"/>
        <v>12859196.779999997</v>
      </c>
      <c r="BC10" s="10"/>
      <c r="BD10" s="10"/>
      <c r="BE10" s="8">
        <v>7169166.7800000003</v>
      </c>
      <c r="BF10" s="8"/>
      <c r="BG10" s="8">
        <f t="shared" si="15"/>
        <v>7169166.7800000003</v>
      </c>
      <c r="BH10" s="9">
        <f t="shared" si="4"/>
        <v>20028363.559999999</v>
      </c>
      <c r="BI10" s="10"/>
      <c r="BJ10" s="10"/>
      <c r="BK10" s="10"/>
      <c r="BL10" s="8">
        <v>9303308.1199999992</v>
      </c>
      <c r="BM10" s="8"/>
      <c r="BN10" s="10"/>
      <c r="BO10" s="10"/>
      <c r="BP10" s="10"/>
      <c r="BQ10" s="8">
        <f>11283446.81-200000</f>
        <v>11083446.810000001</v>
      </c>
      <c r="BR10" s="8"/>
      <c r="BS10" s="10"/>
      <c r="BT10" s="9">
        <f t="shared" si="16"/>
        <v>111715203.27000001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161344945</v>
      </c>
      <c r="C11" s="6"/>
      <c r="D11" s="7"/>
      <c r="E11" s="6">
        <f>11249937.64+764845.94</f>
        <v>12014783.58</v>
      </c>
      <c r="F11" s="6">
        <v>9560117.9000000004</v>
      </c>
      <c r="G11" s="6">
        <f t="shared" si="5"/>
        <v>2454665.6799999997</v>
      </c>
      <c r="H11" s="6"/>
      <c r="I11" s="6"/>
      <c r="J11" s="6">
        <f>11279141.08+G11+66919.96</f>
        <v>13800726.720000001</v>
      </c>
      <c r="K11" s="6">
        <v>8567770.9499999993</v>
      </c>
      <c r="L11" s="6">
        <f t="shared" si="6"/>
        <v>5232955.7700000014</v>
      </c>
      <c r="M11" s="7">
        <f t="shared" si="7"/>
        <v>18127888.850000001</v>
      </c>
      <c r="N11" s="13"/>
      <c r="O11" s="13"/>
      <c r="P11" s="6">
        <f>12069085.92+L11+4600</f>
        <v>17306641.690000001</v>
      </c>
      <c r="Q11" s="6">
        <v>10884293.869999999</v>
      </c>
      <c r="R11" s="6">
        <f t="shared" si="8"/>
        <v>6422347.8200000022</v>
      </c>
      <c r="S11" s="12"/>
      <c r="T11" s="12"/>
      <c r="U11" s="6">
        <f>12264313.3+R11+300</f>
        <v>18686961.120000005</v>
      </c>
      <c r="V11" s="6">
        <v>12133065.82</v>
      </c>
      <c r="W11" s="6">
        <f t="shared" si="17"/>
        <v>6553895.3000000045</v>
      </c>
      <c r="X11" s="9">
        <f>Q11+V11</f>
        <v>23017359.689999998</v>
      </c>
      <c r="Y11" s="8">
        <f t="shared" si="0"/>
        <v>41145248.539999999</v>
      </c>
      <c r="Z11" s="8"/>
      <c r="AA11" s="8"/>
      <c r="AB11" s="6">
        <f>13685923.6+W11+307233</f>
        <v>20547051.900000006</v>
      </c>
      <c r="AC11" s="8">
        <v>12483236.34</v>
      </c>
      <c r="AD11" s="8">
        <f t="shared" si="10"/>
        <v>8063815.5600000061</v>
      </c>
      <c r="AE11" s="10"/>
      <c r="AF11" s="10"/>
      <c r="AG11" s="6">
        <f>12396132.12+AD11+131436.83</f>
        <v>20591384.510000005</v>
      </c>
      <c r="AH11" s="8">
        <v>13182452.539999999</v>
      </c>
      <c r="AI11" s="8">
        <f t="shared" si="3"/>
        <v>7408931.9700000063</v>
      </c>
      <c r="AJ11" s="7">
        <f t="shared" si="11"/>
        <v>25665688.879999999</v>
      </c>
      <c r="AK11" s="8">
        <f t="shared" si="1"/>
        <v>66810937.420000002</v>
      </c>
      <c r="AL11" s="10"/>
      <c r="AM11" s="8"/>
      <c r="AN11" s="6">
        <f>13220282.1+AI11+410000</f>
        <v>21039214.070000008</v>
      </c>
      <c r="AO11" s="8">
        <v>12683141.57</v>
      </c>
      <c r="AP11" s="8">
        <f t="shared" si="18"/>
        <v>8356072.5000000075</v>
      </c>
      <c r="AQ11" s="10"/>
      <c r="AR11" s="10"/>
      <c r="AS11" s="6">
        <f>13519254.3+AP11+286904.99</f>
        <v>22162231.790000007</v>
      </c>
      <c r="AT11" s="8">
        <v>12121100.050000001</v>
      </c>
      <c r="AU11" s="8">
        <f t="shared" si="12"/>
        <v>10041131.740000006</v>
      </c>
      <c r="AV11" s="7">
        <f t="shared" si="13"/>
        <v>24804241.620000001</v>
      </c>
      <c r="AW11" s="10">
        <f t="shared" si="2"/>
        <v>91615179.040000007</v>
      </c>
      <c r="AX11" s="10"/>
      <c r="AY11" s="10"/>
      <c r="AZ11" s="6">
        <f>12371607.7+AU11</f>
        <v>22412739.440000005</v>
      </c>
      <c r="BA11" s="8"/>
      <c r="BB11" s="8">
        <f t="shared" si="14"/>
        <v>22412739.440000005</v>
      </c>
      <c r="BC11" s="10"/>
      <c r="BD11" s="10"/>
      <c r="BE11" s="6">
        <v>12731084.24</v>
      </c>
      <c r="BF11" s="8"/>
      <c r="BG11" s="8">
        <f t="shared" si="15"/>
        <v>12731084.24</v>
      </c>
      <c r="BH11" s="9">
        <f t="shared" si="4"/>
        <v>35143823.680000007</v>
      </c>
      <c r="BI11" s="10"/>
      <c r="BJ11" s="10"/>
      <c r="BK11" s="10"/>
      <c r="BL11" s="6">
        <v>16520915.65</v>
      </c>
      <c r="BM11" s="8"/>
      <c r="BN11" s="10"/>
      <c r="BO11" s="10"/>
      <c r="BP11" s="10"/>
      <c r="BQ11" s="8">
        <v>20037267.350000001</v>
      </c>
      <c r="BR11" s="8"/>
      <c r="BS11" s="10"/>
      <c r="BT11" s="9">
        <f t="shared" si="16"/>
        <v>163317185.72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13335000</v>
      </c>
      <c r="C12" s="6"/>
      <c r="D12" s="7"/>
      <c r="E12" s="6">
        <f>929796.15-325301.42</f>
        <v>604494.73</v>
      </c>
      <c r="F12" s="6">
        <v>428006.12</v>
      </c>
      <c r="G12" s="6">
        <f t="shared" si="5"/>
        <v>176488.61</v>
      </c>
      <c r="H12" s="6"/>
      <c r="I12" s="6"/>
      <c r="J12" s="6">
        <f>932209.84+G12</f>
        <v>1108698.45</v>
      </c>
      <c r="K12" s="6">
        <v>341833.51</v>
      </c>
      <c r="L12" s="6">
        <f t="shared" si="6"/>
        <v>766864.94</v>
      </c>
      <c r="M12" s="7">
        <f t="shared" si="7"/>
        <v>769839.63</v>
      </c>
      <c r="N12" s="13"/>
      <c r="O12" s="13"/>
      <c r="P12" s="6">
        <f>997498.01+L12</f>
        <v>1764362.95</v>
      </c>
      <c r="Q12" s="6">
        <v>865493.39</v>
      </c>
      <c r="R12" s="6">
        <f t="shared" si="8"/>
        <v>898869.55999999994</v>
      </c>
      <c r="S12" s="12"/>
      <c r="T12" s="12"/>
      <c r="U12" s="6">
        <f>1013633.36+R12-320400</f>
        <v>1592102.92</v>
      </c>
      <c r="V12" s="6">
        <v>356023.82</v>
      </c>
      <c r="W12" s="6">
        <f t="shared" si="17"/>
        <v>1236079.0999999999</v>
      </c>
      <c r="X12" s="9">
        <f t="shared" si="9"/>
        <v>1221517.21</v>
      </c>
      <c r="Y12" s="8"/>
      <c r="Z12" s="8"/>
      <c r="AA12" s="8"/>
      <c r="AB12" s="8">
        <f>1131128.03+W12+467892</f>
        <v>2835099.13</v>
      </c>
      <c r="AC12" s="8">
        <v>440550.5</v>
      </c>
      <c r="AD12" s="8">
        <f t="shared" si="10"/>
        <v>2394548.63</v>
      </c>
      <c r="AE12" s="10"/>
      <c r="AF12" s="10"/>
      <c r="AG12" s="8">
        <f>1024528.05+AD12+69142.86</f>
        <v>3488219.5399999996</v>
      </c>
      <c r="AH12" s="8">
        <v>487276.75</v>
      </c>
      <c r="AI12" s="8">
        <f t="shared" si="3"/>
        <v>3000942.7899999996</v>
      </c>
      <c r="AJ12" s="7">
        <f t="shared" si="11"/>
        <v>927827.25</v>
      </c>
      <c r="AK12" s="8"/>
      <c r="AL12" s="10"/>
      <c r="AM12" s="8"/>
      <c r="AN12" s="8">
        <f>1092643.25+AI12-22000</f>
        <v>4071586.0399999996</v>
      </c>
      <c r="AO12" s="8">
        <v>433064.07</v>
      </c>
      <c r="AP12" s="8">
        <f t="shared" si="18"/>
        <v>3638521.9699999997</v>
      </c>
      <c r="AQ12" s="10"/>
      <c r="AR12" s="10"/>
      <c r="AS12" s="8">
        <f>1117353+AP12-34531.56</f>
        <v>4721343.41</v>
      </c>
      <c r="AT12" s="8">
        <v>409387.07</v>
      </c>
      <c r="AU12" s="8">
        <f t="shared" si="12"/>
        <v>4311956.34</v>
      </c>
      <c r="AV12" s="7">
        <f t="shared" si="13"/>
        <v>842451.14</v>
      </c>
      <c r="AW12" s="10"/>
      <c r="AX12" s="10"/>
      <c r="AY12" s="10"/>
      <c r="AZ12" s="8">
        <f>1022501.14+AU12</f>
        <v>5334457.4799999995</v>
      </c>
      <c r="BA12" s="8"/>
      <c r="BB12" s="8">
        <f t="shared" si="14"/>
        <v>5334457.4799999995</v>
      </c>
      <c r="BC12" s="10"/>
      <c r="BD12" s="10"/>
      <c r="BE12" s="8">
        <v>1052211.53</v>
      </c>
      <c r="BF12" s="8"/>
      <c r="BG12" s="8">
        <f t="shared" si="15"/>
        <v>1052211.53</v>
      </c>
      <c r="BH12" s="9">
        <f t="shared" si="4"/>
        <v>6386669.0099999998</v>
      </c>
      <c r="BI12" s="10"/>
      <c r="BJ12" s="10"/>
      <c r="BK12" s="10"/>
      <c r="BL12" s="8">
        <v>1365437.32</v>
      </c>
      <c r="BM12" s="8"/>
      <c r="BN12" s="10"/>
      <c r="BO12" s="10"/>
      <c r="BP12" s="10"/>
      <c r="BQ12" s="8">
        <v>1656060.32</v>
      </c>
      <c r="BR12" s="8"/>
      <c r="BS12" s="10"/>
      <c r="BT12" s="9">
        <f t="shared" si="16"/>
        <v>13169801.880000001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10670000</v>
      </c>
      <c r="C13" s="6"/>
      <c r="D13" s="7"/>
      <c r="E13" s="6">
        <f>743976.43+413975.34</f>
        <v>1157951.77</v>
      </c>
      <c r="F13" s="6">
        <v>537622.68000000005</v>
      </c>
      <c r="G13" s="6">
        <f t="shared" si="5"/>
        <v>620329.09</v>
      </c>
      <c r="H13" s="6"/>
      <c r="I13" s="6"/>
      <c r="J13" s="6">
        <f>745907.69+G13+179370.89</f>
        <v>1545607.67</v>
      </c>
      <c r="K13" s="6">
        <v>617463.32999999996</v>
      </c>
      <c r="L13" s="6">
        <f t="shared" si="6"/>
        <v>928144.34</v>
      </c>
      <c r="M13" s="7">
        <f t="shared" si="7"/>
        <v>1155086.01</v>
      </c>
      <c r="N13" s="13"/>
      <c r="O13" s="13"/>
      <c r="P13" s="6">
        <f>798148+L13+586370</f>
        <v>2312662.34</v>
      </c>
      <c r="Q13" s="6">
        <v>911723.89</v>
      </c>
      <c r="R13" s="6">
        <f t="shared" si="8"/>
        <v>1400938.4499999997</v>
      </c>
      <c r="S13" s="12"/>
      <c r="T13" s="12"/>
      <c r="U13" s="6">
        <f>811058.71+R13+40900</f>
        <v>2252897.1599999997</v>
      </c>
      <c r="V13" s="6">
        <v>653172.72</v>
      </c>
      <c r="W13" s="6">
        <f t="shared" si="17"/>
        <v>1599724.4399999997</v>
      </c>
      <c r="X13" s="9">
        <f t="shared" si="9"/>
        <v>1564896.6099999999</v>
      </c>
      <c r="Y13" s="8">
        <f t="shared" si="0"/>
        <v>2719982.62</v>
      </c>
      <c r="Z13" s="8"/>
      <c r="AA13" s="8"/>
      <c r="AB13" s="8">
        <f>905072.07+W13+40148.14</f>
        <v>2544944.65</v>
      </c>
      <c r="AC13" s="8">
        <v>681509.63</v>
      </c>
      <c r="AD13" s="8">
        <f t="shared" si="10"/>
        <v>1863435.02</v>
      </c>
      <c r="AE13" s="10"/>
      <c r="AF13" s="10"/>
      <c r="AG13" s="8">
        <f>819776.11+AD13+137000</f>
        <v>2820211.13</v>
      </c>
      <c r="AH13" s="8">
        <v>719361.32</v>
      </c>
      <c r="AI13" s="8">
        <f t="shared" si="3"/>
        <v>2100849.81</v>
      </c>
      <c r="AJ13" s="7">
        <f t="shared" si="11"/>
        <v>1400870.95</v>
      </c>
      <c r="AK13" s="8">
        <f t="shared" si="1"/>
        <v>4120853.5700000003</v>
      </c>
      <c r="AL13" s="10"/>
      <c r="AM13" s="8"/>
      <c r="AN13" s="8">
        <f>874278.47+AI13+802800</f>
        <v>3777928.2800000003</v>
      </c>
      <c r="AO13" s="8">
        <v>811972.1</v>
      </c>
      <c r="AP13" s="8">
        <f t="shared" si="18"/>
        <v>2965956.18</v>
      </c>
      <c r="AQ13" s="10"/>
      <c r="AR13" s="10"/>
      <c r="AS13" s="8">
        <f>894049.97+AP13+186550</f>
        <v>4046556.1500000004</v>
      </c>
      <c r="AT13" s="8">
        <v>1066358.96</v>
      </c>
      <c r="AU13" s="8">
        <f t="shared" si="12"/>
        <v>2980197.1900000004</v>
      </c>
      <c r="AV13" s="7">
        <f t="shared" si="13"/>
        <v>1878331.06</v>
      </c>
      <c r="AW13" s="10">
        <f t="shared" si="2"/>
        <v>5999184.6300000008</v>
      </c>
      <c r="AX13" s="10"/>
      <c r="AY13" s="10"/>
      <c r="AZ13" s="8">
        <f>818154.26+AU13</f>
        <v>3798351.45</v>
      </c>
      <c r="BA13" s="8"/>
      <c r="BB13" s="8">
        <f t="shared" si="14"/>
        <v>3798351.45</v>
      </c>
      <c r="BC13" s="10"/>
      <c r="BD13" s="10"/>
      <c r="BE13" s="8">
        <v>841927.03</v>
      </c>
      <c r="BF13" s="8"/>
      <c r="BG13" s="8">
        <f>BE13-BF13</f>
        <v>841927.03</v>
      </c>
      <c r="BH13" s="9">
        <f t="shared" si="4"/>
        <v>4640278.4800000004</v>
      </c>
      <c r="BI13" s="10"/>
      <c r="BJ13" s="10"/>
      <c r="BK13" s="10"/>
      <c r="BL13" s="8">
        <v>1092554.6399999999</v>
      </c>
      <c r="BM13" s="8"/>
      <c r="BN13" s="10"/>
      <c r="BO13" s="10"/>
      <c r="BP13" s="10"/>
      <c r="BQ13" s="8">
        <v>1325096.6200000001</v>
      </c>
      <c r="BR13" s="8"/>
      <c r="BS13" s="10"/>
      <c r="BT13" s="9">
        <f t="shared" si="16"/>
        <v>13057114.370000001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5100000</v>
      </c>
      <c r="C14" s="6"/>
      <c r="D14" s="7"/>
      <c r="E14" s="6">
        <f>355602.59+232510</f>
        <v>588112.59000000008</v>
      </c>
      <c r="F14" s="6">
        <v>226990.42</v>
      </c>
      <c r="G14" s="6">
        <f t="shared" si="5"/>
        <v>361122.17000000004</v>
      </c>
      <c r="H14" s="6"/>
      <c r="I14" s="6"/>
      <c r="J14" s="6">
        <f>356525.69+G14</f>
        <v>717647.8600000001</v>
      </c>
      <c r="K14" s="6">
        <v>264486.73</v>
      </c>
      <c r="L14" s="6">
        <f>J14-K14</f>
        <v>453161.13000000012</v>
      </c>
      <c r="M14" s="7">
        <f t="shared" si="7"/>
        <v>491477.15</v>
      </c>
      <c r="N14" s="6"/>
      <c r="O14" s="6"/>
      <c r="P14" s="6">
        <f>381495.3+L14+504300</f>
        <v>1338956.4300000002</v>
      </c>
      <c r="Q14" s="6">
        <v>318452.34999999998</v>
      </c>
      <c r="R14" s="6">
        <f>P14-Q14</f>
        <v>1020504.0800000002</v>
      </c>
      <c r="S14" s="12"/>
      <c r="T14" s="12"/>
      <c r="U14" s="6">
        <f>387666.31+R14-354985</f>
        <v>1053185.3900000001</v>
      </c>
      <c r="V14" s="6">
        <v>338101.57</v>
      </c>
      <c r="W14" s="6">
        <f>U14-V14</f>
        <v>715083.82000000007</v>
      </c>
      <c r="X14" s="9">
        <f t="shared" si="9"/>
        <v>656553.91999999993</v>
      </c>
      <c r="Y14" s="8"/>
      <c r="Z14" s="8"/>
      <c r="AA14" s="8"/>
      <c r="AB14" s="8">
        <f>432602.4+W14-40000</f>
        <v>1107686.2200000002</v>
      </c>
      <c r="AC14" s="8">
        <v>209834.76</v>
      </c>
      <c r="AD14" s="8">
        <f t="shared" si="10"/>
        <v>897851.4600000002</v>
      </c>
      <c r="AE14" s="10"/>
      <c r="AF14" s="10"/>
      <c r="AG14" s="8">
        <f>391833.01+AD14+35000</f>
        <v>1324684.4700000002</v>
      </c>
      <c r="AH14" s="8">
        <v>260383.3</v>
      </c>
      <c r="AI14" s="8">
        <f t="shared" si="3"/>
        <v>1064301.1700000002</v>
      </c>
      <c r="AJ14" s="7">
        <f t="shared" si="11"/>
        <v>470218.06</v>
      </c>
      <c r="AK14" s="8"/>
      <c r="AL14" s="10"/>
      <c r="AM14" s="8"/>
      <c r="AN14" s="8">
        <f>417883.8+AI14-61000</f>
        <v>1421184.9700000002</v>
      </c>
      <c r="AO14" s="8">
        <v>788708.53</v>
      </c>
      <c r="AP14" s="8">
        <f t="shared" si="18"/>
        <v>632476.44000000018</v>
      </c>
      <c r="AQ14" s="10"/>
      <c r="AR14" s="10"/>
      <c r="AS14" s="8">
        <f>427334.09+AP14+19941.32</f>
        <v>1079751.8500000003</v>
      </c>
      <c r="AT14" s="8">
        <v>408329.66</v>
      </c>
      <c r="AU14" s="8">
        <f t="shared" si="12"/>
        <v>671422.19000000041</v>
      </c>
      <c r="AV14" s="7">
        <f t="shared" si="13"/>
        <v>1197038.19</v>
      </c>
      <c r="AW14" s="10"/>
      <c r="AX14" s="10"/>
      <c r="AY14" s="10"/>
      <c r="AZ14" s="8">
        <f>391057.8+AU14</f>
        <v>1062479.9900000005</v>
      </c>
      <c r="BA14" s="8"/>
      <c r="BB14" s="8">
        <f t="shared" si="14"/>
        <v>1062479.9900000005</v>
      </c>
      <c r="BC14" s="10"/>
      <c r="BD14" s="10"/>
      <c r="BE14" s="8">
        <v>402420.6</v>
      </c>
      <c r="BF14" s="8"/>
      <c r="BG14" s="8">
        <f t="shared" si="15"/>
        <v>402420.6</v>
      </c>
      <c r="BH14" s="9">
        <f t="shared" si="4"/>
        <v>1464900.5900000003</v>
      </c>
      <c r="BI14" s="10"/>
      <c r="BJ14" s="10"/>
      <c r="BK14" s="10"/>
      <c r="BL14" s="8">
        <v>522214.5</v>
      </c>
      <c r="BM14" s="8"/>
      <c r="BN14" s="10"/>
      <c r="BO14" s="10"/>
      <c r="BP14" s="10"/>
      <c r="BQ14" s="8">
        <v>633363.91</v>
      </c>
      <c r="BR14" s="8"/>
      <c r="BS14" s="10"/>
      <c r="BT14" s="9">
        <f>M14+X14+AJ14+AV14+BH14+BL14+BQ14</f>
        <v>5435766.3200000003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2255000</v>
      </c>
      <c r="C15" s="6"/>
      <c r="D15" s="7"/>
      <c r="E15" s="6">
        <v>157232.13</v>
      </c>
      <c r="F15" s="6">
        <v>145581.37</v>
      </c>
      <c r="G15" s="6">
        <f t="shared" si="5"/>
        <v>11650.760000000009</v>
      </c>
      <c r="H15" s="6"/>
      <c r="I15" s="6"/>
      <c r="J15" s="6">
        <f>157640.29+G15</f>
        <v>169291.05000000002</v>
      </c>
      <c r="K15" s="6">
        <v>148791.07999999999</v>
      </c>
      <c r="L15" s="6">
        <f t="shared" si="6"/>
        <v>20499.97000000003</v>
      </c>
      <c r="M15" s="7">
        <f t="shared" si="7"/>
        <v>294372.44999999995</v>
      </c>
      <c r="N15" s="6"/>
      <c r="O15" s="6"/>
      <c r="P15" s="6">
        <f>168680.76+L15</f>
        <v>189180.73000000004</v>
      </c>
      <c r="Q15" s="6">
        <v>149911.34</v>
      </c>
      <c r="R15" s="6">
        <f t="shared" si="8"/>
        <v>39269.390000000043</v>
      </c>
      <c r="S15" s="12"/>
      <c r="T15" s="12"/>
      <c r="U15" s="6">
        <f>171409.31+R15-41000</f>
        <v>169678.70000000004</v>
      </c>
      <c r="V15" s="6">
        <v>156139.22</v>
      </c>
      <c r="W15" s="6">
        <f t="shared" si="17"/>
        <v>13539.48000000004</v>
      </c>
      <c r="X15" s="9">
        <f t="shared" si="9"/>
        <v>306050.56</v>
      </c>
      <c r="Y15" s="8">
        <f t="shared" si="0"/>
        <v>600423.01</v>
      </c>
      <c r="Z15" s="8"/>
      <c r="AA15" s="8"/>
      <c r="AB15" s="8">
        <f>191278.11+W15</f>
        <v>204817.59000000003</v>
      </c>
      <c r="AC15" s="8">
        <v>166077.04999999999</v>
      </c>
      <c r="AD15" s="8">
        <f t="shared" si="10"/>
        <v>38740.540000000037</v>
      </c>
      <c r="AE15" s="10"/>
      <c r="AF15" s="10"/>
      <c r="AG15" s="8">
        <f>173251.65+AD15</f>
        <v>211992.19000000003</v>
      </c>
      <c r="AH15" s="8">
        <v>201763.55</v>
      </c>
      <c r="AI15" s="8">
        <f t="shared" si="3"/>
        <v>10228.640000000043</v>
      </c>
      <c r="AJ15" s="7">
        <f t="shared" si="11"/>
        <v>367840.6</v>
      </c>
      <c r="AK15" s="8">
        <f t="shared" si="1"/>
        <v>968263.61</v>
      </c>
      <c r="AL15" s="10"/>
      <c r="AM15" s="8"/>
      <c r="AN15" s="8">
        <f>184770.19+AI15-46000+40000+25000</f>
        <v>213998.83000000005</v>
      </c>
      <c r="AO15" s="8">
        <v>209830.37</v>
      </c>
      <c r="AP15" s="8">
        <f t="shared" si="18"/>
        <v>4168.4600000000501</v>
      </c>
      <c r="AQ15" s="10"/>
      <c r="AR15" s="10"/>
      <c r="AS15" s="8">
        <f>188948.7+AP15+20000</f>
        <v>213117.16000000006</v>
      </c>
      <c r="AT15" s="8">
        <v>187643.33</v>
      </c>
      <c r="AU15" s="8">
        <f t="shared" si="12"/>
        <v>25473.830000000075</v>
      </c>
      <c r="AV15" s="7">
        <f t="shared" si="13"/>
        <v>397473.69999999995</v>
      </c>
      <c r="AW15" s="10">
        <f t="shared" si="2"/>
        <v>1365737.31</v>
      </c>
      <c r="AX15" s="10"/>
      <c r="AY15" s="10"/>
      <c r="AZ15" s="8">
        <f>172908.89+AU15</f>
        <v>198382.72000000009</v>
      </c>
      <c r="BA15" s="8"/>
      <c r="BB15" s="8">
        <f t="shared" si="14"/>
        <v>198382.72000000009</v>
      </c>
      <c r="BC15" s="10"/>
      <c r="BD15" s="10"/>
      <c r="BE15" s="8">
        <v>177933.04</v>
      </c>
      <c r="BF15" s="8"/>
      <c r="BG15" s="8">
        <f t="shared" si="15"/>
        <v>177933.04</v>
      </c>
      <c r="BH15" s="9">
        <f t="shared" si="4"/>
        <v>376315.76000000013</v>
      </c>
      <c r="BI15" s="10"/>
      <c r="BJ15" s="10"/>
      <c r="BK15" s="10"/>
      <c r="BL15" s="8">
        <f>230900.73-40000-20000</f>
        <v>170900.73</v>
      </c>
      <c r="BM15" s="8"/>
      <c r="BN15" s="10"/>
      <c r="BO15" s="10"/>
      <c r="BP15" s="10"/>
      <c r="BQ15" s="8">
        <f>280046.2-25000</f>
        <v>255046.2</v>
      </c>
      <c r="BR15" s="8"/>
      <c r="BS15" s="10"/>
      <c r="BT15" s="9">
        <f t="shared" si="16"/>
        <v>2168000.0000000005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45166000</v>
      </c>
      <c r="C16" s="6"/>
      <c r="D16" s="7"/>
      <c r="E16" s="6">
        <f>3149244.52+109500</f>
        <v>3258744.52</v>
      </c>
      <c r="F16" s="6">
        <v>446877.25</v>
      </c>
      <c r="G16" s="6">
        <f t="shared" si="5"/>
        <v>2811867.27</v>
      </c>
      <c r="H16" s="6"/>
      <c r="I16" s="6"/>
      <c r="J16" s="6">
        <f>3157419.56+G16</f>
        <v>5969286.8300000001</v>
      </c>
      <c r="K16" s="6">
        <v>425837.32</v>
      </c>
      <c r="L16" s="6">
        <f t="shared" si="6"/>
        <v>5543449.5099999998</v>
      </c>
      <c r="M16" s="7">
        <f t="shared" si="7"/>
        <v>872714.57000000007</v>
      </c>
      <c r="N16" s="6"/>
      <c r="O16" s="6"/>
      <c r="P16" s="6">
        <f>3378552.29+L16+684900</f>
        <v>9606901.8000000007</v>
      </c>
      <c r="Q16" s="6">
        <v>1109124.8600000001</v>
      </c>
      <c r="R16" s="6">
        <f t="shared" si="8"/>
        <v>8497776.9400000013</v>
      </c>
      <c r="S16" s="12"/>
      <c r="T16" s="12"/>
      <c r="U16" s="6">
        <f>3433203.16+R16</f>
        <v>11930980.100000001</v>
      </c>
      <c r="V16" s="6">
        <v>419823.07</v>
      </c>
      <c r="W16" s="6">
        <f t="shared" si="17"/>
        <v>11511157.030000001</v>
      </c>
      <c r="X16" s="9">
        <f t="shared" si="9"/>
        <v>1528947.9300000002</v>
      </c>
      <c r="Y16" s="8">
        <f t="shared" si="0"/>
        <v>2401662.5</v>
      </c>
      <c r="Z16" s="8"/>
      <c r="AA16" s="8"/>
      <c r="AB16" s="8">
        <f>3831160.78+W16-2060700</f>
        <v>13281617.810000001</v>
      </c>
      <c r="AC16" s="8">
        <v>541659.75</v>
      </c>
      <c r="AD16" s="8">
        <f t="shared" si="10"/>
        <v>12739958.060000001</v>
      </c>
      <c r="AE16" s="10"/>
      <c r="AF16" s="10"/>
      <c r="AG16" s="8">
        <f>3470103.78+AD16+4658.86</f>
        <v>16214720.699999999</v>
      </c>
      <c r="AH16" s="8">
        <v>629994.38</v>
      </c>
      <c r="AI16" s="8">
        <f t="shared" si="3"/>
        <v>15584726.319999998</v>
      </c>
      <c r="AJ16" s="7">
        <f t="shared" si="11"/>
        <v>1171654.1299999999</v>
      </c>
      <c r="AK16" s="8">
        <f t="shared" si="1"/>
        <v>3573316.63</v>
      </c>
      <c r="AL16" s="10"/>
      <c r="AM16" s="8"/>
      <c r="AN16" s="8">
        <f>3700811.71+AI16-43000</f>
        <v>19242538.029999997</v>
      </c>
      <c r="AO16" s="8">
        <v>721320.24</v>
      </c>
      <c r="AP16" s="8">
        <f t="shared" si="18"/>
        <v>18521217.789999999</v>
      </c>
      <c r="AQ16" s="10"/>
      <c r="AR16" s="10"/>
      <c r="AS16" s="8">
        <f>3784504.3+AP16</f>
        <v>22305722.09</v>
      </c>
      <c r="AT16" s="8">
        <v>621242.61</v>
      </c>
      <c r="AU16" s="8">
        <f t="shared" si="12"/>
        <v>21684479.48</v>
      </c>
      <c r="AV16" s="7">
        <f t="shared" si="13"/>
        <v>1342562.85</v>
      </c>
      <c r="AW16" s="10">
        <f t="shared" si="2"/>
        <v>4915879.4800000004</v>
      </c>
      <c r="AX16" s="10"/>
      <c r="AY16" s="10"/>
      <c r="AZ16" s="8">
        <f>3463238.55+AU16</f>
        <v>25147718.030000001</v>
      </c>
      <c r="BA16" s="8"/>
      <c r="BB16" s="8">
        <f t="shared" si="14"/>
        <v>25147718.030000001</v>
      </c>
      <c r="BC16" s="10"/>
      <c r="BD16" s="10"/>
      <c r="BE16" s="8">
        <v>3563868.4</v>
      </c>
      <c r="BF16" s="8"/>
      <c r="BG16" s="8">
        <f t="shared" si="15"/>
        <v>3563868.4</v>
      </c>
      <c r="BH16" s="9">
        <f t="shared" si="4"/>
        <v>28711586.43</v>
      </c>
      <c r="BI16" s="10"/>
      <c r="BJ16" s="10"/>
      <c r="BK16" s="10"/>
      <c r="BL16" s="8">
        <v>4624772.57</v>
      </c>
      <c r="BM16" s="8"/>
      <c r="BN16" s="10"/>
      <c r="BO16" s="10"/>
      <c r="BP16" s="10"/>
      <c r="BQ16" s="8">
        <v>5609120.3799999999</v>
      </c>
      <c r="BR16" s="8"/>
      <c r="BS16" s="10"/>
      <c r="BT16" s="9">
        <f t="shared" si="16"/>
        <v>43861358.859999999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28225000</v>
      </c>
      <c r="C17" s="6"/>
      <c r="D17" s="7"/>
      <c r="E17" s="6">
        <f>1968016.32+4088291.45</f>
        <v>6056307.7700000005</v>
      </c>
      <c r="F17" s="6">
        <v>1419003.49</v>
      </c>
      <c r="G17" s="6">
        <f t="shared" si="5"/>
        <v>4637304.28</v>
      </c>
      <c r="H17" s="6"/>
      <c r="I17" s="6"/>
      <c r="J17" s="6">
        <f>1973125.08+G17+341000</f>
        <v>6951429.3600000003</v>
      </c>
      <c r="K17" s="6">
        <v>2029994.45</v>
      </c>
      <c r="L17" s="6">
        <f t="shared" si="6"/>
        <v>4921434.91</v>
      </c>
      <c r="M17" s="7">
        <f t="shared" si="7"/>
        <v>3448997.94</v>
      </c>
      <c r="N17" s="6"/>
      <c r="O17" s="6"/>
      <c r="P17" s="6">
        <f>2111314.67+L17+766091.51</f>
        <v>7798841.0899999999</v>
      </c>
      <c r="Q17" s="6">
        <v>2254775.41</v>
      </c>
      <c r="R17" s="6">
        <f t="shared" si="8"/>
        <v>5544065.6799999997</v>
      </c>
      <c r="S17" s="12"/>
      <c r="T17" s="12"/>
      <c r="U17" s="6">
        <f>2145466.92+R17-8300</f>
        <v>7681232.5999999996</v>
      </c>
      <c r="V17" s="6">
        <v>1947975.29</v>
      </c>
      <c r="W17" s="6">
        <f t="shared" si="17"/>
        <v>5733257.3099999996</v>
      </c>
      <c r="X17" s="9">
        <f t="shared" si="9"/>
        <v>4202750.7</v>
      </c>
      <c r="Y17" s="8"/>
      <c r="Z17" s="8"/>
      <c r="AA17" s="8"/>
      <c r="AB17" s="8">
        <f>2394157.39+W17+1086400</f>
        <v>9213814.6999999993</v>
      </c>
      <c r="AC17" s="8">
        <v>2938605.47</v>
      </c>
      <c r="AD17" s="8">
        <f t="shared" si="10"/>
        <v>6275209.2299999986</v>
      </c>
      <c r="AE17" s="10"/>
      <c r="AF17" s="10"/>
      <c r="AG17" s="8">
        <f>2168526.76+AD17+377850</f>
        <v>8821585.9899999984</v>
      </c>
      <c r="AH17" s="8">
        <v>2094132.34</v>
      </c>
      <c r="AI17" s="8">
        <f t="shared" si="3"/>
        <v>6727453.6499999985</v>
      </c>
      <c r="AJ17" s="7">
        <f t="shared" si="11"/>
        <v>5032737.8100000005</v>
      </c>
      <c r="AK17" s="8"/>
      <c r="AL17" s="10"/>
      <c r="AM17" s="8"/>
      <c r="AN17" s="8">
        <f>2312700.05+AI17+1093604.51</f>
        <v>10133758.209999999</v>
      </c>
      <c r="AO17" s="8">
        <v>2199202.91</v>
      </c>
      <c r="AP17" s="8">
        <f t="shared" si="18"/>
        <v>7934555.2999999989</v>
      </c>
      <c r="AQ17" s="10"/>
      <c r="AR17" s="10"/>
      <c r="AS17" s="8">
        <f>2365000.99+AP17+5390000</f>
        <v>15689556.289999999</v>
      </c>
      <c r="AT17" s="8">
        <v>2468335.96</v>
      </c>
      <c r="AU17" s="8">
        <f t="shared" si="12"/>
        <v>13221220.329999998</v>
      </c>
      <c r="AV17" s="7">
        <f t="shared" si="13"/>
        <v>4667538.87</v>
      </c>
      <c r="AW17" s="10"/>
      <c r="AX17" s="10"/>
      <c r="AY17" s="10"/>
      <c r="AZ17" s="8">
        <f>2164236.55+AU17</f>
        <v>15385456.879999999</v>
      </c>
      <c r="BA17" s="8"/>
      <c r="BB17" s="8">
        <f>AZ17-BA17</f>
        <v>15385456.879999999</v>
      </c>
      <c r="BC17" s="10"/>
      <c r="BD17" s="10"/>
      <c r="BE17" s="8">
        <v>2227121.87</v>
      </c>
      <c r="BF17" s="8"/>
      <c r="BG17" s="8">
        <f t="shared" si="15"/>
        <v>2227121.87</v>
      </c>
      <c r="BH17" s="9">
        <f t="shared" si="4"/>
        <v>17612578.75</v>
      </c>
      <c r="BI17" s="10"/>
      <c r="BJ17" s="10"/>
      <c r="BK17" s="10"/>
      <c r="BL17" s="8">
        <v>2890098.88</v>
      </c>
      <c r="BM17" s="8"/>
      <c r="BN17" s="10"/>
      <c r="BO17" s="10"/>
      <c r="BP17" s="10"/>
      <c r="BQ17" s="8">
        <v>3505234.52</v>
      </c>
      <c r="BR17" s="8"/>
      <c r="BS17" s="10"/>
      <c r="BT17" s="9">
        <f t="shared" si="16"/>
        <v>41359937.470000006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12798000</v>
      </c>
      <c r="C18" s="6"/>
      <c r="D18" s="7"/>
      <c r="E18" s="6">
        <f>892353.33+8500+200000</f>
        <v>1100853.33</v>
      </c>
      <c r="F18" s="6">
        <v>1071338.8400000001</v>
      </c>
      <c r="G18" s="6">
        <f t="shared" si="5"/>
        <v>29514.489999999991</v>
      </c>
      <c r="H18" s="6"/>
      <c r="I18" s="6"/>
      <c r="J18" s="6">
        <f>894669.78+G18+50000</f>
        <v>974184.27</v>
      </c>
      <c r="K18" s="6">
        <v>933166.87</v>
      </c>
      <c r="L18" s="6">
        <f t="shared" si="6"/>
        <v>41017.400000000023</v>
      </c>
      <c r="M18" s="7">
        <f t="shared" si="7"/>
        <v>2004505.71</v>
      </c>
      <c r="N18" s="6"/>
      <c r="O18" s="6"/>
      <c r="P18" s="6">
        <f>957328.8+L18</f>
        <v>998346.20000000007</v>
      </c>
      <c r="Q18" s="6">
        <v>904333.49</v>
      </c>
      <c r="R18" s="6">
        <f t="shared" si="8"/>
        <v>94012.710000000079</v>
      </c>
      <c r="S18" s="12"/>
      <c r="T18" s="12"/>
      <c r="U18" s="6">
        <f>972814.38+R18-278200+120000</f>
        <v>908627.09000000008</v>
      </c>
      <c r="V18" s="6">
        <v>742223.29</v>
      </c>
      <c r="W18" s="6">
        <f t="shared" si="17"/>
        <v>166403.80000000005</v>
      </c>
      <c r="X18" s="9">
        <f t="shared" si="9"/>
        <v>1646556.78</v>
      </c>
      <c r="Y18" s="8">
        <f t="shared" si="0"/>
        <v>3651062.49</v>
      </c>
      <c r="Z18" s="8"/>
      <c r="AA18" s="8"/>
      <c r="AB18" s="8">
        <f>1085577.56+W18-120000-2675955.64+2300000</f>
        <v>756025.72</v>
      </c>
      <c r="AC18" s="8">
        <v>707788.99</v>
      </c>
      <c r="AD18" s="8">
        <f t="shared" si="10"/>
        <v>48236.729999999981</v>
      </c>
      <c r="AE18" s="10"/>
      <c r="AF18" s="10"/>
      <c r="AG18" s="8">
        <f>983270.34-150000+AD18-110000+100000</f>
        <v>871507.07</v>
      </c>
      <c r="AH18" s="8">
        <v>818119.84</v>
      </c>
      <c r="AI18" s="8">
        <f>AG18-AH18</f>
        <v>53387.229999999981</v>
      </c>
      <c r="AJ18" s="7">
        <f t="shared" si="11"/>
        <v>1525908.83</v>
      </c>
      <c r="AK18" s="8">
        <f t="shared" si="1"/>
        <v>5176971.32</v>
      </c>
      <c r="AL18" s="10"/>
      <c r="AM18" s="8"/>
      <c r="AN18" s="8">
        <f>1048642.53-250000+AI18+43020</f>
        <v>895049.76</v>
      </c>
      <c r="AO18" s="8">
        <v>741797.17</v>
      </c>
      <c r="AP18" s="8">
        <f t="shared" si="18"/>
        <v>153252.58999999997</v>
      </c>
      <c r="AQ18" s="10"/>
      <c r="AR18" s="10"/>
      <c r="AS18" s="8">
        <f>1072357.22-200000-100000+AP18+55000</f>
        <v>980609.80999999994</v>
      </c>
      <c r="AT18" s="8">
        <v>709221.39</v>
      </c>
      <c r="AU18" s="8">
        <f t="shared" si="12"/>
        <v>271388.41999999993</v>
      </c>
      <c r="AV18" s="7">
        <f t="shared" si="13"/>
        <v>1451018.56</v>
      </c>
      <c r="AW18" s="10">
        <f t="shared" si="2"/>
        <v>6627989.8800000008</v>
      </c>
      <c r="AX18" s="10"/>
      <c r="AY18" s="10"/>
      <c r="AZ18" s="8">
        <f>981325.05-150000+AU18</f>
        <v>1102713.47</v>
      </c>
      <c r="BA18" s="8"/>
      <c r="BB18" s="8">
        <f t="shared" si="14"/>
        <v>1102713.47</v>
      </c>
      <c r="BC18" s="10"/>
      <c r="BD18" s="10"/>
      <c r="BE18" s="8">
        <f>1009838.98-300000</f>
        <v>709838.98</v>
      </c>
      <c r="BF18" s="8"/>
      <c r="BG18" s="8">
        <f t="shared" si="15"/>
        <v>709838.98</v>
      </c>
      <c r="BH18" s="9">
        <f t="shared" si="4"/>
        <v>1812552.45</v>
      </c>
      <c r="BI18" s="10"/>
      <c r="BJ18" s="10"/>
      <c r="BK18" s="10"/>
      <c r="BL18" s="8">
        <f>1310451.21-700000</f>
        <v>610451.21</v>
      </c>
      <c r="BM18" s="8"/>
      <c r="BN18" s="10"/>
      <c r="BO18" s="10"/>
      <c r="BP18" s="10"/>
      <c r="BQ18" s="8">
        <f>1589370.82-200000-50000-550000</f>
        <v>789370.82000000007</v>
      </c>
      <c r="BR18" s="8"/>
      <c r="BS18" s="10"/>
      <c r="BT18" s="9">
        <f t="shared" si="16"/>
        <v>9840364.3599999994</v>
      </c>
      <c r="BU18" s="9">
        <f>F18+K18+Q18+V18+AC18+AH18+AO18+AT18+BA18+BF18+BM18+BR18</f>
        <v>6627989.8799999999</v>
      </c>
      <c r="BV18" s="11">
        <f>BT18-BU18</f>
        <v>3212374.4799999995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16430000</v>
      </c>
      <c r="C19" s="6"/>
      <c r="D19" s="7"/>
      <c r="E19" s="6">
        <f>1145598.18+3113000</f>
        <v>4258598.18</v>
      </c>
      <c r="F19" s="6">
        <v>1824825.48</v>
      </c>
      <c r="G19" s="6">
        <f t="shared" si="5"/>
        <v>2433772.6999999997</v>
      </c>
      <c r="H19" s="6"/>
      <c r="I19" s="6"/>
      <c r="J19" s="6">
        <f>1148572.02+G19+30000</f>
        <v>3612344.7199999997</v>
      </c>
      <c r="K19" s="6">
        <v>1335177.8799999999</v>
      </c>
      <c r="L19" s="6">
        <f t="shared" si="6"/>
        <v>2277166.84</v>
      </c>
      <c r="M19" s="7">
        <f t="shared" si="7"/>
        <v>3160003.36</v>
      </c>
      <c r="N19" s="6"/>
      <c r="O19" s="6"/>
      <c r="P19" s="6">
        <f>1229013.29+L19</f>
        <v>3506180.13</v>
      </c>
      <c r="Q19" s="6">
        <v>2348786.52</v>
      </c>
      <c r="R19" s="6">
        <f t="shared" si="8"/>
        <v>1157393.6099999999</v>
      </c>
      <c r="S19" s="6"/>
      <c r="T19" s="6"/>
      <c r="U19" s="6">
        <f>1248893.58+R19-78600+25000</f>
        <v>2352687.19</v>
      </c>
      <c r="V19" s="6">
        <v>1889200.39</v>
      </c>
      <c r="W19" s="6">
        <f t="shared" si="17"/>
        <v>463486.80000000005</v>
      </c>
      <c r="X19" s="9">
        <f t="shared" si="9"/>
        <v>4237986.91</v>
      </c>
      <c r="Y19" s="8">
        <f t="shared" si="0"/>
        <v>7397990.2699999996</v>
      </c>
      <c r="Z19" s="8"/>
      <c r="AA19" s="8"/>
      <c r="AB19" s="8">
        <f>1393658.32+W19-25000</f>
        <v>1832145.12</v>
      </c>
      <c r="AC19" s="8">
        <v>1337176.08</v>
      </c>
      <c r="AD19" s="8">
        <f t="shared" si="10"/>
        <v>494969.04000000004</v>
      </c>
      <c r="AE19" s="8"/>
      <c r="AF19" s="10"/>
      <c r="AG19" s="8">
        <f>1262316.9+AD19+15000+1000000</f>
        <v>2772285.94</v>
      </c>
      <c r="AH19" s="8">
        <v>2587388.13</v>
      </c>
      <c r="AI19" s="8">
        <f t="shared" si="3"/>
        <v>184897.81000000006</v>
      </c>
      <c r="AJ19" s="7">
        <f t="shared" si="11"/>
        <v>3924564.21</v>
      </c>
      <c r="AK19" s="8">
        <f t="shared" si="1"/>
        <v>11322554.48</v>
      </c>
      <c r="AL19" s="8"/>
      <c r="AM19" s="8"/>
      <c r="AN19" s="8">
        <f>1346241.34+AI19+26000+460000</f>
        <v>2017139.1500000001</v>
      </c>
      <c r="AO19" s="8">
        <v>1937323.07</v>
      </c>
      <c r="AP19" s="8">
        <f t="shared" si="18"/>
        <v>79816.080000000075</v>
      </c>
      <c r="AQ19" s="8"/>
      <c r="AR19" s="8"/>
      <c r="AS19" s="8">
        <f>1376686.13+AP19+6000000</f>
        <v>7456502.21</v>
      </c>
      <c r="AT19" s="8">
        <v>2012177.39</v>
      </c>
      <c r="AU19" s="8">
        <f t="shared" si="12"/>
        <v>5444324.8200000003</v>
      </c>
      <c r="AV19" s="7">
        <f t="shared" si="13"/>
        <v>3949500.46</v>
      </c>
      <c r="AW19" s="10">
        <f t="shared" si="2"/>
        <v>15272054.940000001</v>
      </c>
      <c r="AX19" s="8"/>
      <c r="AY19" s="8"/>
      <c r="AZ19" s="8">
        <f>1259819.54+AU19</f>
        <v>6704144.3600000003</v>
      </c>
      <c r="BA19" s="8"/>
      <c r="BB19" s="8">
        <f t="shared" si="14"/>
        <v>6704144.3600000003</v>
      </c>
      <c r="BC19" s="8"/>
      <c r="BD19" s="8"/>
      <c r="BE19" s="8">
        <v>1296425.58</v>
      </c>
      <c r="BF19" s="8"/>
      <c r="BG19" s="8">
        <f t="shared" si="15"/>
        <v>1296425.58</v>
      </c>
      <c r="BH19" s="9">
        <f t="shared" si="4"/>
        <v>8000569.9400000004</v>
      </c>
      <c r="BI19" s="10"/>
      <c r="BJ19" s="8"/>
      <c r="BK19" s="8"/>
      <c r="BL19" s="8">
        <f>1682349.85-460000</f>
        <v>1222349.8500000001</v>
      </c>
      <c r="BM19" s="8"/>
      <c r="BN19" s="8"/>
      <c r="BO19" s="8"/>
      <c r="BP19" s="8"/>
      <c r="BQ19" s="8">
        <f>2040425.27-1000000</f>
        <v>1040425.27</v>
      </c>
      <c r="BR19" s="8"/>
      <c r="BS19" s="10"/>
      <c r="BT19" s="9">
        <f t="shared" si="16"/>
        <v>25535400.000000004</v>
      </c>
      <c r="BU19" s="9">
        <f>F19+K19+Q19+V19+AC19+AH19+AO19+AT19+BA19+BF19+BM19+BR19</f>
        <v>15272054.940000001</v>
      </c>
      <c r="BV19" s="11">
        <f>BT19-BU19</f>
        <v>10263345.060000002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10070200</v>
      </c>
      <c r="C20" s="6">
        <v>774000</v>
      </c>
      <c r="D20" s="6">
        <v>716750.65</v>
      </c>
      <c r="E20" s="6"/>
      <c r="F20" s="6"/>
      <c r="G20" s="6">
        <f t="shared" ref="G20:G21" si="19">C20-D20</f>
        <v>57249.349999999977</v>
      </c>
      <c r="H20" s="6">
        <f>774000+G20</f>
        <v>831249.35</v>
      </c>
      <c r="I20" s="6">
        <v>719350.8</v>
      </c>
      <c r="J20" s="6"/>
      <c r="K20" s="6"/>
      <c r="L20" s="6">
        <f t="shared" ref="L20:L21" si="20">H20-I20</f>
        <v>111898.54999999993</v>
      </c>
      <c r="M20" s="7">
        <f t="shared" ref="M20:M21" si="21">SUM(D20+I20)</f>
        <v>1436101.4500000002</v>
      </c>
      <c r="N20" s="6">
        <f>774000+L20</f>
        <v>885898.54999999993</v>
      </c>
      <c r="O20" s="6">
        <v>719109.97</v>
      </c>
      <c r="P20" s="6"/>
      <c r="Q20" s="6"/>
      <c r="R20" s="6">
        <f>N20-O20</f>
        <v>166788.57999999996</v>
      </c>
      <c r="S20" s="6">
        <f>774000+R20</f>
        <v>940788.58</v>
      </c>
      <c r="T20" s="6">
        <v>717907.55</v>
      </c>
      <c r="U20" s="6"/>
      <c r="V20" s="6"/>
      <c r="W20" s="6">
        <f>S20-T20</f>
        <v>222881.02999999991</v>
      </c>
      <c r="X20" s="7">
        <f>SUM(O20+T20)</f>
        <v>1437017.52</v>
      </c>
      <c r="Y20" s="8">
        <f t="shared" si="0"/>
        <v>2873118.97</v>
      </c>
      <c r="Z20" s="8">
        <f>774000+W20</f>
        <v>996881.02999999991</v>
      </c>
      <c r="AA20" s="8">
        <f>716821.2-1160.13</f>
        <v>715661.07</v>
      </c>
      <c r="AB20" s="8"/>
      <c r="AC20" s="8"/>
      <c r="AD20" s="8">
        <f>Z20-AA20</f>
        <v>281219.95999999996</v>
      </c>
      <c r="AE20" s="8">
        <f>774000+AD20</f>
        <v>1055219.96</v>
      </c>
      <c r="AF20" s="8">
        <v>786867.55</v>
      </c>
      <c r="AG20" s="8"/>
      <c r="AH20" s="8"/>
      <c r="AI20" s="8">
        <f t="shared" ref="AI20:AI21" si="22">AE20-AF20</f>
        <v>268352.40999999992</v>
      </c>
      <c r="AJ20" s="7">
        <f>AA20+AF20</f>
        <v>1502528.62</v>
      </c>
      <c r="AK20" s="8">
        <f t="shared" si="1"/>
        <v>4375647.59</v>
      </c>
      <c r="AL20" s="8">
        <f>774000+AI20</f>
        <v>1042352.4099999999</v>
      </c>
      <c r="AM20" s="8">
        <v>718740.67</v>
      </c>
      <c r="AN20" s="8"/>
      <c r="AO20" s="8"/>
      <c r="AP20" s="8">
        <f>AL20-AM20</f>
        <v>323611.73999999987</v>
      </c>
      <c r="AQ20" s="8">
        <f>774000+AP20</f>
        <v>1097611.7399999998</v>
      </c>
      <c r="AR20" s="8">
        <f>518634.03+201959.14-2192.7</f>
        <v>718400.47000000009</v>
      </c>
      <c r="AS20" s="8"/>
      <c r="AT20" s="8"/>
      <c r="AU20" s="8">
        <f>AQ20-AR20</f>
        <v>379211.26999999967</v>
      </c>
      <c r="AV20" s="7">
        <f>SUM(AM20+AR20)</f>
        <v>1437141.1400000001</v>
      </c>
      <c r="AW20" s="10">
        <f t="shared" si="2"/>
        <v>5812788.7300000004</v>
      </c>
      <c r="AX20" s="8">
        <f>774000+AU20</f>
        <v>1153211.2699999996</v>
      </c>
      <c r="AY20" s="10"/>
      <c r="AZ20" s="8"/>
      <c r="BA20" s="8"/>
      <c r="BB20" s="8"/>
      <c r="BC20" s="8">
        <v>774000</v>
      </c>
      <c r="BD20" s="10"/>
      <c r="BE20" s="8"/>
      <c r="BF20" s="8"/>
      <c r="BG20" s="8">
        <f t="shared" si="15"/>
        <v>0</v>
      </c>
      <c r="BH20" s="7">
        <f t="shared" ref="BH20:BH21" si="23">SUM(AX20+BC20)</f>
        <v>1927211.2699999996</v>
      </c>
      <c r="BI20" s="10"/>
      <c r="BJ20" s="8">
        <v>774000</v>
      </c>
      <c r="BK20" s="10"/>
      <c r="BL20" s="8"/>
      <c r="BM20" s="8"/>
      <c r="BN20" s="10"/>
      <c r="BO20" s="8">
        <v>1556200</v>
      </c>
      <c r="BP20" s="10"/>
      <c r="BQ20" s="8"/>
      <c r="BR20" s="8"/>
      <c r="BS20" s="10"/>
      <c r="BT20" s="9">
        <f t="shared" ref="BT20:BT21" si="24">M20+X20+AJ20+AV20+BH20+BJ20+BO20</f>
        <v>10070200</v>
      </c>
      <c r="BU20" s="9">
        <f>F20+K20+Q20+V20+AC20+AH20+AO20+AT20+BA20+BF20+BM20+BR20</f>
        <v>0</v>
      </c>
      <c r="BV20" s="11">
        <f>BT20-BU20</f>
        <v>10070200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2984000</v>
      </c>
      <c r="C21" s="6">
        <f>250000+11000</f>
        <v>261000</v>
      </c>
      <c r="D21" s="6">
        <v>260859.38</v>
      </c>
      <c r="E21" s="6"/>
      <c r="F21" s="6"/>
      <c r="G21" s="6">
        <f t="shared" si="19"/>
        <v>140.61999999999534</v>
      </c>
      <c r="H21" s="6">
        <f>250000+G21+2000</f>
        <v>252140.62</v>
      </c>
      <c r="I21" s="6">
        <v>251386.41</v>
      </c>
      <c r="J21" s="6"/>
      <c r="K21" s="6"/>
      <c r="L21" s="6">
        <f t="shared" si="20"/>
        <v>754.20999999999185</v>
      </c>
      <c r="M21" s="7">
        <f t="shared" si="21"/>
        <v>512245.79000000004</v>
      </c>
      <c r="N21" s="6">
        <f>250000+L21</f>
        <v>250754.21</v>
      </c>
      <c r="O21" s="6">
        <v>248092.36</v>
      </c>
      <c r="P21" s="6"/>
      <c r="Q21" s="6"/>
      <c r="R21" s="6">
        <f>N21-O21</f>
        <v>2661.8500000000058</v>
      </c>
      <c r="S21" s="6">
        <f>250000+R21</f>
        <v>252661.85</v>
      </c>
      <c r="T21" s="6">
        <v>251602.17</v>
      </c>
      <c r="U21" s="6"/>
      <c r="V21" s="6"/>
      <c r="W21" s="6">
        <f>S21-T21</f>
        <v>1059.679999999993</v>
      </c>
      <c r="X21" s="7">
        <f>SUM(O21+T21)</f>
        <v>499694.53</v>
      </c>
      <c r="Y21" s="8">
        <f t="shared" si="0"/>
        <v>1011940.3200000001</v>
      </c>
      <c r="Z21" s="8">
        <f>250000+W21</f>
        <v>251059.68</v>
      </c>
      <c r="AA21" s="8">
        <v>249685.44</v>
      </c>
      <c r="AB21" s="8"/>
      <c r="AC21" s="8"/>
      <c r="AD21" s="8">
        <f>Z21-AA21</f>
        <v>1374.2399999999907</v>
      </c>
      <c r="AE21" s="8">
        <f>250000+AD21+5000</f>
        <v>256374.24</v>
      </c>
      <c r="AF21" s="8">
        <v>252589.89</v>
      </c>
      <c r="AG21" s="8"/>
      <c r="AH21" s="8"/>
      <c r="AI21" s="8">
        <f t="shared" si="22"/>
        <v>3784.3499999999767</v>
      </c>
      <c r="AJ21" s="7">
        <f>AA21+AF21</f>
        <v>502275.33</v>
      </c>
      <c r="AK21" s="8">
        <f t="shared" si="1"/>
        <v>1514215.6500000001</v>
      </c>
      <c r="AL21" s="8">
        <f>250000+AI21</f>
        <v>253784.34999999998</v>
      </c>
      <c r="AM21" s="8">
        <v>250939.8</v>
      </c>
      <c r="AN21" s="8"/>
      <c r="AO21" s="8"/>
      <c r="AP21" s="8">
        <f>AL21-AM21</f>
        <v>2844.5499999999884</v>
      </c>
      <c r="AQ21" s="8">
        <f>250000+AP21</f>
        <v>252844.55</v>
      </c>
      <c r="AR21" s="8">
        <v>246848.59</v>
      </c>
      <c r="AS21" s="8"/>
      <c r="AT21" s="8"/>
      <c r="AU21" s="8">
        <f>AQ21-AR21</f>
        <v>5995.9599999999919</v>
      </c>
      <c r="AV21" s="7">
        <f>SUM(AM21+AR21)</f>
        <v>497788.39</v>
      </c>
      <c r="AW21" s="10">
        <f t="shared" si="2"/>
        <v>2012004.04</v>
      </c>
      <c r="AX21" s="8">
        <f>250000+AU21</f>
        <v>255995.96</v>
      </c>
      <c r="AY21" s="8"/>
      <c r="AZ21" s="8"/>
      <c r="BA21" s="8"/>
      <c r="BB21" s="8"/>
      <c r="BC21" s="8">
        <v>250000</v>
      </c>
      <c r="BD21" s="8"/>
      <c r="BE21" s="8"/>
      <c r="BF21" s="8"/>
      <c r="BG21" s="8">
        <f t="shared" si="15"/>
        <v>0</v>
      </c>
      <c r="BH21" s="7">
        <f t="shared" si="23"/>
        <v>505995.95999999996</v>
      </c>
      <c r="BI21" s="10"/>
      <c r="BJ21" s="8">
        <v>250000</v>
      </c>
      <c r="BK21" s="8"/>
      <c r="BL21" s="8"/>
      <c r="BM21" s="8"/>
      <c r="BN21" s="8"/>
      <c r="BO21" s="8">
        <f>234000-11000-2000-5000</f>
        <v>216000</v>
      </c>
      <c r="BP21" s="8"/>
      <c r="BQ21" s="8"/>
      <c r="BR21" s="8"/>
      <c r="BS21" s="8"/>
      <c r="BT21" s="9">
        <f t="shared" si="24"/>
        <v>2984000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88150000</v>
      </c>
      <c r="C22" s="6"/>
      <c r="D22" s="7"/>
      <c r="E22" s="6">
        <f>6146346.92-1060796.22+2000000</f>
        <v>7085550.7000000002</v>
      </c>
      <c r="F22" s="6">
        <v>6559913.0899999999</v>
      </c>
      <c r="G22" s="6">
        <f t="shared" si="5"/>
        <v>525637.61000000034</v>
      </c>
      <c r="H22" s="6"/>
      <c r="I22" s="6"/>
      <c r="J22" s="6">
        <f>6162302.04+G22-593170+100000</f>
        <v>6194769.6500000004</v>
      </c>
      <c r="K22" s="6">
        <v>6167916.7699999996</v>
      </c>
      <c r="L22" s="6">
        <f t="shared" si="6"/>
        <v>26852.88000000082</v>
      </c>
      <c r="M22" s="7">
        <f t="shared" ref="M22" si="25">F22+K22</f>
        <v>12727829.859999999</v>
      </c>
      <c r="N22" s="6"/>
      <c r="O22" s="13"/>
      <c r="P22" s="6">
        <f>6593884.45+L22+1700000-1000450</f>
        <v>7320287.330000001</v>
      </c>
      <c r="Q22" s="6">
        <v>7310673.6600000001</v>
      </c>
      <c r="R22" s="6">
        <f t="shared" si="8"/>
        <v>9613.6700000008568</v>
      </c>
      <c r="S22" s="12"/>
      <c r="T22" s="12"/>
      <c r="U22" s="6">
        <f>6700545.95+R22-2039500+2500000+150000</f>
        <v>7320659.620000001</v>
      </c>
      <c r="V22" s="6">
        <v>6988668.2400000002</v>
      </c>
      <c r="W22" s="6">
        <f t="shared" si="17"/>
        <v>331991.38000000082</v>
      </c>
      <c r="X22" s="9">
        <f t="shared" ref="X22" si="26">Q22+V22</f>
        <v>14299341.9</v>
      </c>
      <c r="Y22" s="8">
        <f t="shared" si="0"/>
        <v>27027171.759999998</v>
      </c>
      <c r="Z22" s="8"/>
      <c r="AA22" s="8"/>
      <c r="AB22" s="8">
        <f>7477235.6+W22-1604000</f>
        <v>6205226.9800000004</v>
      </c>
      <c r="AC22" s="8">
        <v>5924943.96</v>
      </c>
      <c r="AD22" s="8">
        <f t="shared" si="10"/>
        <v>280283.02000000048</v>
      </c>
      <c r="AE22" s="10"/>
      <c r="AF22" s="10"/>
      <c r="AG22" s="8">
        <f>6772564.5+AD22-1231242.86+1100000</f>
        <v>6921604.6600000001</v>
      </c>
      <c r="AH22" s="8">
        <v>6878019.3399999999</v>
      </c>
      <c r="AI22" s="8">
        <f t="shared" si="3"/>
        <v>43585.320000000298</v>
      </c>
      <c r="AJ22" s="7">
        <f t="shared" ref="AJ22" si="27">AC22+AH22</f>
        <v>12802963.300000001</v>
      </c>
      <c r="AK22" s="8">
        <f t="shared" si="1"/>
        <v>39830135.060000002</v>
      </c>
      <c r="AL22" s="10"/>
      <c r="AM22" s="8"/>
      <c r="AN22" s="8">
        <f>7222834.7+AI22-1870700+1200000+360000</f>
        <v>6955720.0200000005</v>
      </c>
      <c r="AO22" s="8">
        <v>6951276.1200000001</v>
      </c>
      <c r="AP22" s="8">
        <f t="shared" si="18"/>
        <v>4443.9000000003725</v>
      </c>
      <c r="AQ22" s="10"/>
      <c r="AR22" s="10"/>
      <c r="AS22" s="8">
        <f>7386176.64+AP22-2273352.77+1400000</f>
        <v>6517267.7699999996</v>
      </c>
      <c r="AT22" s="8">
        <v>6508631.6299999999</v>
      </c>
      <c r="AU22" s="8">
        <f t="shared" si="12"/>
        <v>8636.1399999996647</v>
      </c>
      <c r="AV22" s="7">
        <f t="shared" ref="AV22" si="28">AO22+AT22</f>
        <v>13459907.75</v>
      </c>
      <c r="AW22" s="10">
        <f t="shared" si="2"/>
        <v>53290042.810000002</v>
      </c>
      <c r="AX22" s="10"/>
      <c r="AY22" s="10"/>
      <c r="AZ22" s="8">
        <f>6759165.69+AU22</f>
        <v>6767801.8300000001</v>
      </c>
      <c r="BA22" s="8"/>
      <c r="BB22" s="8">
        <f t="shared" si="14"/>
        <v>6767801.8300000001</v>
      </c>
      <c r="BC22" s="10"/>
      <c r="BD22" s="10"/>
      <c r="BE22" s="8">
        <v>6955563.9000000004</v>
      </c>
      <c r="BF22" s="8"/>
      <c r="BG22" s="8">
        <f t="shared" si="15"/>
        <v>6955563.9000000004</v>
      </c>
      <c r="BH22" s="9">
        <f t="shared" si="4"/>
        <v>13723365.73</v>
      </c>
      <c r="BI22" s="10"/>
      <c r="BJ22" s="10"/>
      <c r="BK22" s="10"/>
      <c r="BL22" s="8">
        <f>9026119.26-100000-1500000-150000-1100000</f>
        <v>6176119.2599999998</v>
      </c>
      <c r="BM22" s="8"/>
      <c r="BN22" s="10"/>
      <c r="BO22" s="10"/>
      <c r="BP22" s="10"/>
      <c r="BQ22" s="8">
        <f>10947260.35-2000000-1700000-1000000-1200000-360000-1400000</f>
        <v>3287260.3499999996</v>
      </c>
      <c r="BR22" s="8"/>
      <c r="BS22" s="10"/>
      <c r="BT22" s="9">
        <f t="shared" si="16"/>
        <v>76476788.150000006</v>
      </c>
      <c r="BU22" s="9">
        <f>F22+K22+Q22+V22+AC22+AH22+AO22+AT22+BA22+BF22+BM22+BR22</f>
        <v>53290042.810000002</v>
      </c>
      <c r="BV22" s="11">
        <f>BT22-BU22</f>
        <v>23186745.340000004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9">SUM(B5:B22)</f>
        <v>565271200</v>
      </c>
      <c r="C23" s="9">
        <f t="shared" si="29"/>
        <v>3845000</v>
      </c>
      <c r="D23" s="9">
        <f t="shared" si="29"/>
        <v>3782245.98</v>
      </c>
      <c r="E23" s="9">
        <f t="shared" si="29"/>
        <v>49997092.460000001</v>
      </c>
      <c r="F23" s="9">
        <f t="shared" si="29"/>
        <v>33120345.780000001</v>
      </c>
      <c r="G23" s="9">
        <f t="shared" si="29"/>
        <v>16939500.699999999</v>
      </c>
      <c r="H23" s="9">
        <f>SUM(H5:H22)</f>
        <v>3738754.02</v>
      </c>
      <c r="I23" s="9">
        <f>SUM(I5:I22)</f>
        <v>3608931.24</v>
      </c>
      <c r="J23" s="9">
        <f t="shared" si="29"/>
        <v>54714406.640000001</v>
      </c>
      <c r="K23" s="9">
        <f t="shared" si="29"/>
        <v>33189524.519999996</v>
      </c>
      <c r="L23" s="9">
        <f t="shared" si="29"/>
        <v>21654704.900000006</v>
      </c>
      <c r="M23" s="9">
        <f t="shared" si="29"/>
        <v>73701047.520000011</v>
      </c>
      <c r="N23" s="9">
        <f t="shared" si="29"/>
        <v>3788822.78</v>
      </c>
      <c r="O23" s="9">
        <f t="shared" si="29"/>
        <v>3614669.0799999996</v>
      </c>
      <c r="P23" s="9">
        <f t="shared" si="29"/>
        <v>65179122.18</v>
      </c>
      <c r="Q23" s="9">
        <f t="shared" si="29"/>
        <v>39220951.68</v>
      </c>
      <c r="R23" s="9">
        <f t="shared" si="29"/>
        <v>26132324.200000003</v>
      </c>
      <c r="S23" s="9">
        <f t="shared" si="29"/>
        <v>3698153.7</v>
      </c>
      <c r="T23" s="9">
        <f t="shared" si="29"/>
        <v>3468519.1799999997</v>
      </c>
      <c r="U23" s="9">
        <f t="shared" si="29"/>
        <v>74457353.660000011</v>
      </c>
      <c r="V23" s="9">
        <f t="shared" si="29"/>
        <v>37480042.119999997</v>
      </c>
      <c r="W23" s="9">
        <f t="shared" si="29"/>
        <v>37206946.060000002</v>
      </c>
      <c r="X23" s="9">
        <f t="shared" si="29"/>
        <v>83784182.060000002</v>
      </c>
      <c r="Y23" s="9">
        <f t="shared" si="29"/>
        <v>110906748.85999998</v>
      </c>
      <c r="Z23" s="9">
        <f t="shared" si="29"/>
        <v>3303634.52</v>
      </c>
      <c r="AA23" s="9">
        <f t="shared" si="29"/>
        <v>3017059.23</v>
      </c>
      <c r="AB23" s="9">
        <f t="shared" si="29"/>
        <v>85206686.580000028</v>
      </c>
      <c r="AC23" s="9">
        <f t="shared" si="29"/>
        <v>39093176.18</v>
      </c>
      <c r="AD23" s="9">
        <f t="shared" si="29"/>
        <v>46400085.690000005</v>
      </c>
      <c r="AE23" s="9">
        <f t="shared" si="29"/>
        <v>3315575.29</v>
      </c>
      <c r="AF23" s="9">
        <f t="shared" si="29"/>
        <v>3019745.2600000002</v>
      </c>
      <c r="AG23" s="9">
        <f t="shared" si="29"/>
        <v>90816989.859999985</v>
      </c>
      <c r="AH23" s="9">
        <f t="shared" ref="AH23:BM23" si="30">SUM(AH5:AH22)</f>
        <v>42732480.180000007</v>
      </c>
      <c r="AI23" s="9">
        <f t="shared" si="30"/>
        <v>48380339.710000001</v>
      </c>
      <c r="AJ23" s="9">
        <f>SUM(AJ5:AJ22)</f>
        <v>87862460.849999994</v>
      </c>
      <c r="AK23" s="9">
        <f t="shared" si="30"/>
        <v>170147845.22000003</v>
      </c>
      <c r="AL23" s="9">
        <f t="shared" si="30"/>
        <v>3119830.03</v>
      </c>
      <c r="AM23" s="9">
        <f t="shared" si="30"/>
        <v>2793031.59</v>
      </c>
      <c r="AN23" s="9">
        <f t="shared" si="30"/>
        <v>95432294.090000004</v>
      </c>
      <c r="AO23" s="9">
        <f>SUM(AO5:AO22)</f>
        <v>40933645.670000002</v>
      </c>
      <c r="AP23" s="9">
        <f t="shared" si="30"/>
        <v>54825446.859999999</v>
      </c>
      <c r="AQ23" s="9">
        <f t="shared" si="30"/>
        <v>3250798.4399999995</v>
      </c>
      <c r="AR23" s="9">
        <f t="shared" si="30"/>
        <v>2829095.44</v>
      </c>
      <c r="AS23" s="9">
        <f t="shared" si="30"/>
        <v>113098664.54999998</v>
      </c>
      <c r="AT23" s="9">
        <f t="shared" si="30"/>
        <v>41709077.160000004</v>
      </c>
      <c r="AU23" s="9">
        <f t="shared" si="30"/>
        <v>71811290.390000001</v>
      </c>
      <c r="AV23" s="9">
        <f t="shared" si="30"/>
        <v>88264849.859999999</v>
      </c>
      <c r="AW23" s="9">
        <f t="shared" si="30"/>
        <v>229038855.11999997</v>
      </c>
      <c r="AX23" s="9">
        <f t="shared" si="30"/>
        <v>3245702.9999999995</v>
      </c>
      <c r="AY23" s="9">
        <f t="shared" si="30"/>
        <v>0</v>
      </c>
      <c r="AZ23" s="9">
        <f t="shared" si="30"/>
        <v>111730708.84999999</v>
      </c>
      <c r="BA23" s="9">
        <f t="shared" si="30"/>
        <v>0</v>
      </c>
      <c r="BB23" s="9">
        <f t="shared" si="30"/>
        <v>113567204.62</v>
      </c>
      <c r="BC23" s="9">
        <f t="shared" si="30"/>
        <v>2824000</v>
      </c>
      <c r="BD23" s="9">
        <f t="shared" si="30"/>
        <v>0</v>
      </c>
      <c r="BE23" s="9">
        <f t="shared" si="30"/>
        <v>41367654.770000003</v>
      </c>
      <c r="BF23" s="9">
        <f t="shared" si="30"/>
        <v>0</v>
      </c>
      <c r="BG23" s="9">
        <f t="shared" si="30"/>
        <v>43167654.769999996</v>
      </c>
      <c r="BH23" s="9">
        <f t="shared" si="30"/>
        <v>159168066.62</v>
      </c>
      <c r="BI23" s="9">
        <f t="shared" si="30"/>
        <v>0</v>
      </c>
      <c r="BJ23" s="9">
        <f>SUM(BJ5:BJ22)</f>
        <v>2489000</v>
      </c>
      <c r="BK23" s="9">
        <f t="shared" si="30"/>
        <v>0</v>
      </c>
      <c r="BL23" s="9">
        <f t="shared" si="30"/>
        <v>50001420.450000003</v>
      </c>
      <c r="BM23" s="9">
        <f t="shared" si="30"/>
        <v>0</v>
      </c>
      <c r="BN23" s="9">
        <f t="shared" ref="BN23:BV23" si="31">SUM(BN5:BN22)</f>
        <v>0</v>
      </c>
      <c r="BO23" s="9">
        <f>SUM(BO5:BO22)</f>
        <v>2512200</v>
      </c>
      <c r="BP23" s="9">
        <f t="shared" si="31"/>
        <v>0</v>
      </c>
      <c r="BQ23" s="9">
        <f t="shared" si="31"/>
        <v>55415112.660000011</v>
      </c>
      <c r="BR23" s="9">
        <f t="shared" si="31"/>
        <v>0</v>
      </c>
      <c r="BS23" s="9">
        <f t="shared" si="31"/>
        <v>0</v>
      </c>
      <c r="BT23" s="9">
        <f t="shared" si="31"/>
        <v>603198340.0200001</v>
      </c>
      <c r="BU23" s="9">
        <f t="shared" si="31"/>
        <v>87965469.579999998</v>
      </c>
      <c r="BV23" s="9">
        <f t="shared" si="31"/>
        <v>84031232.550000012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12500000</v>
      </c>
      <c r="C24" s="39"/>
      <c r="D24" s="40"/>
      <c r="E24" s="39"/>
      <c r="F24" s="39">
        <v>1035000</v>
      </c>
      <c r="G24" s="39">
        <f>B24-F24</f>
        <v>11465000</v>
      </c>
      <c r="H24" s="39"/>
      <c r="I24" s="39"/>
      <c r="J24" s="39"/>
      <c r="K24" s="39">
        <v>150000</v>
      </c>
      <c r="L24" s="39">
        <f>K24</f>
        <v>150000</v>
      </c>
      <c r="M24" s="40">
        <f>F24+K24</f>
        <v>1185000</v>
      </c>
      <c r="N24" s="41"/>
      <c r="O24" s="41"/>
      <c r="P24" s="39"/>
      <c r="Q24" s="39">
        <v>1000450</v>
      </c>
      <c r="R24" s="39"/>
      <c r="S24" s="42"/>
      <c r="T24" s="42"/>
      <c r="U24" s="39"/>
      <c r="V24" s="39">
        <v>1981500</v>
      </c>
      <c r="W24" s="39"/>
      <c r="X24" s="40">
        <f>Q24+V24</f>
        <v>2981950</v>
      </c>
      <c r="Y24" s="43">
        <f>M24+X24</f>
        <v>4166950</v>
      </c>
      <c r="Z24" s="43"/>
      <c r="AA24" s="43"/>
      <c r="AB24" s="43"/>
      <c r="AC24" s="43">
        <v>1687000</v>
      </c>
      <c r="AD24" s="43"/>
      <c r="AE24" s="44"/>
      <c r="AF24" s="44"/>
      <c r="AG24" s="43"/>
      <c r="AH24" s="43">
        <v>1541242.86</v>
      </c>
      <c r="AI24" s="43"/>
      <c r="AJ24" s="45">
        <f>AC24+AH24</f>
        <v>3228242.8600000003</v>
      </c>
      <c r="AK24" s="43">
        <f>Y24+AJ24</f>
        <v>7395192.8600000003</v>
      </c>
      <c r="AL24" s="44"/>
      <c r="AM24" s="43"/>
      <c r="AN24" s="43"/>
      <c r="AO24" s="43">
        <v>2723700</v>
      </c>
      <c r="AP24" s="43"/>
      <c r="AQ24" s="44"/>
      <c r="AR24" s="44"/>
      <c r="AS24" s="43"/>
      <c r="AT24" s="43">
        <v>2381107.14</v>
      </c>
      <c r="AU24" s="43"/>
      <c r="AV24" s="40">
        <f>SUM(AO24+AT24)</f>
        <v>5104807.1400000006</v>
      </c>
      <c r="AW24" s="44">
        <f>AK24+AV24</f>
        <v>12500000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-9.3132257461547852E-10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4" t="s">
        <v>31</v>
      </c>
      <c r="B26" s="54"/>
      <c r="C26" s="50" t="s">
        <v>2</v>
      </c>
      <c r="D26" s="50"/>
      <c r="E26" s="50"/>
      <c r="F26" s="50"/>
      <c r="G26" s="34"/>
      <c r="H26" s="50" t="s">
        <v>3</v>
      </c>
      <c r="I26" s="50"/>
      <c r="J26" s="50"/>
      <c r="K26" s="50"/>
      <c r="L26" s="50"/>
      <c r="M26" s="53" t="s">
        <v>4</v>
      </c>
      <c r="N26" s="50" t="s">
        <v>5</v>
      </c>
      <c r="O26" s="50"/>
      <c r="P26" s="50"/>
      <c r="Q26" s="50"/>
      <c r="R26" s="50"/>
      <c r="S26" s="50" t="s">
        <v>6</v>
      </c>
      <c r="T26" s="50"/>
      <c r="U26" s="50"/>
      <c r="V26" s="50"/>
      <c r="W26" s="50"/>
      <c r="X26" s="53" t="s">
        <v>7</v>
      </c>
      <c r="Y26" s="53" t="s">
        <v>8</v>
      </c>
      <c r="Z26" s="50" t="s">
        <v>9</v>
      </c>
      <c r="AA26" s="50"/>
      <c r="AB26" s="50"/>
      <c r="AC26" s="50"/>
      <c r="AD26" s="50"/>
      <c r="AE26" s="50" t="s">
        <v>10</v>
      </c>
      <c r="AF26" s="50"/>
      <c r="AG26" s="50"/>
      <c r="AH26" s="50"/>
      <c r="AI26" s="50"/>
      <c r="AJ26" s="53" t="s">
        <v>11</v>
      </c>
      <c r="AK26" s="53" t="s">
        <v>8</v>
      </c>
      <c r="AL26" s="50" t="s">
        <v>12</v>
      </c>
      <c r="AM26" s="50"/>
      <c r="AN26" s="50"/>
      <c r="AO26" s="50"/>
      <c r="AP26" s="50"/>
      <c r="AQ26" s="50" t="s">
        <v>13</v>
      </c>
      <c r="AR26" s="50"/>
      <c r="AS26" s="50"/>
      <c r="AT26" s="50"/>
      <c r="AU26" s="50"/>
      <c r="AV26" s="53" t="s">
        <v>14</v>
      </c>
      <c r="AW26" s="53" t="s">
        <v>8</v>
      </c>
      <c r="AX26" s="50" t="s">
        <v>15</v>
      </c>
      <c r="AY26" s="50"/>
      <c r="AZ26" s="50"/>
      <c r="BA26" s="50"/>
      <c r="BB26" s="50"/>
      <c r="BC26" s="50" t="s">
        <v>16</v>
      </c>
      <c r="BD26" s="50"/>
      <c r="BE26" s="50"/>
      <c r="BF26" s="50"/>
      <c r="BG26" s="50"/>
      <c r="BH26" s="53" t="s">
        <v>17</v>
      </c>
      <c r="BI26" s="53" t="s">
        <v>8</v>
      </c>
      <c r="BJ26" s="50" t="s">
        <v>18</v>
      </c>
      <c r="BK26" s="50"/>
      <c r="BL26" s="50"/>
      <c r="BM26" s="50"/>
      <c r="BN26" s="50"/>
      <c r="BO26" s="50" t="s">
        <v>19</v>
      </c>
      <c r="BP26" s="50"/>
      <c r="BQ26" s="50"/>
      <c r="BR26" s="50"/>
      <c r="BS26" s="50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4"/>
      <c r="B27" s="54"/>
      <c r="C27" s="50" t="s">
        <v>21</v>
      </c>
      <c r="D27" s="50"/>
      <c r="E27" s="50" t="s">
        <v>22</v>
      </c>
      <c r="F27" s="50"/>
      <c r="G27" s="50" t="s">
        <v>23</v>
      </c>
      <c r="H27" s="50" t="s">
        <v>21</v>
      </c>
      <c r="I27" s="50"/>
      <c r="J27" s="50" t="s">
        <v>22</v>
      </c>
      <c r="K27" s="50"/>
      <c r="L27" s="50" t="s">
        <v>23</v>
      </c>
      <c r="M27" s="53"/>
      <c r="N27" s="50" t="s">
        <v>21</v>
      </c>
      <c r="O27" s="50"/>
      <c r="P27" s="50" t="s">
        <v>22</v>
      </c>
      <c r="Q27" s="50"/>
      <c r="R27" s="50" t="s">
        <v>23</v>
      </c>
      <c r="S27" s="50" t="s">
        <v>21</v>
      </c>
      <c r="T27" s="50"/>
      <c r="U27" s="50" t="s">
        <v>22</v>
      </c>
      <c r="V27" s="50"/>
      <c r="W27" s="50" t="s">
        <v>23</v>
      </c>
      <c r="X27" s="53"/>
      <c r="Y27" s="53"/>
      <c r="Z27" s="50" t="s">
        <v>21</v>
      </c>
      <c r="AA27" s="50"/>
      <c r="AB27" s="50" t="s">
        <v>22</v>
      </c>
      <c r="AC27" s="50"/>
      <c r="AD27" s="50" t="s">
        <v>23</v>
      </c>
      <c r="AE27" s="50" t="s">
        <v>21</v>
      </c>
      <c r="AF27" s="50"/>
      <c r="AG27" s="50" t="s">
        <v>22</v>
      </c>
      <c r="AH27" s="50"/>
      <c r="AI27" s="50" t="s">
        <v>23</v>
      </c>
      <c r="AJ27" s="53"/>
      <c r="AK27" s="53"/>
      <c r="AL27" s="50" t="s">
        <v>21</v>
      </c>
      <c r="AM27" s="50"/>
      <c r="AN27" s="50" t="s">
        <v>22</v>
      </c>
      <c r="AO27" s="50"/>
      <c r="AP27" s="50" t="s">
        <v>23</v>
      </c>
      <c r="AQ27" s="50" t="s">
        <v>21</v>
      </c>
      <c r="AR27" s="50"/>
      <c r="AS27" s="50" t="s">
        <v>22</v>
      </c>
      <c r="AT27" s="50"/>
      <c r="AU27" s="50" t="s">
        <v>23</v>
      </c>
      <c r="AV27" s="53"/>
      <c r="AW27" s="53"/>
      <c r="AX27" s="50" t="s">
        <v>21</v>
      </c>
      <c r="AY27" s="50"/>
      <c r="AZ27" s="50" t="s">
        <v>22</v>
      </c>
      <c r="BA27" s="50"/>
      <c r="BB27" s="50" t="s">
        <v>23</v>
      </c>
      <c r="BC27" s="50" t="s">
        <v>21</v>
      </c>
      <c r="BD27" s="50"/>
      <c r="BE27" s="50" t="s">
        <v>22</v>
      </c>
      <c r="BF27" s="50"/>
      <c r="BG27" s="50" t="s">
        <v>23</v>
      </c>
      <c r="BH27" s="53"/>
      <c r="BI27" s="53"/>
      <c r="BJ27" s="50" t="s">
        <v>21</v>
      </c>
      <c r="BK27" s="50"/>
      <c r="BL27" s="50" t="s">
        <v>22</v>
      </c>
      <c r="BM27" s="50"/>
      <c r="BN27" s="50"/>
      <c r="BO27" s="50" t="s">
        <v>21</v>
      </c>
      <c r="BP27" s="50"/>
      <c r="BQ27" s="50" t="s">
        <v>22</v>
      </c>
      <c r="BR27" s="50"/>
      <c r="BS27" s="50"/>
      <c r="BT27" s="50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4"/>
      <c r="B28" s="54"/>
      <c r="C28" s="34" t="s">
        <v>24</v>
      </c>
      <c r="D28" s="34" t="s">
        <v>25</v>
      </c>
      <c r="E28" s="34" t="s">
        <v>24</v>
      </c>
      <c r="F28" s="34" t="s">
        <v>25</v>
      </c>
      <c r="G28" s="50"/>
      <c r="H28" s="34" t="s">
        <v>24</v>
      </c>
      <c r="I28" s="34" t="s">
        <v>25</v>
      </c>
      <c r="J28" s="34" t="s">
        <v>24</v>
      </c>
      <c r="K28" s="34" t="s">
        <v>25</v>
      </c>
      <c r="L28" s="50"/>
      <c r="M28" s="53"/>
      <c r="N28" s="34" t="s">
        <v>24</v>
      </c>
      <c r="O28" s="34" t="s">
        <v>25</v>
      </c>
      <c r="P28" s="34" t="s">
        <v>24</v>
      </c>
      <c r="Q28" s="34" t="s">
        <v>25</v>
      </c>
      <c r="R28" s="50"/>
      <c r="S28" s="34" t="s">
        <v>24</v>
      </c>
      <c r="T28" s="34" t="s">
        <v>25</v>
      </c>
      <c r="U28" s="34" t="s">
        <v>24</v>
      </c>
      <c r="V28" s="34" t="s">
        <v>25</v>
      </c>
      <c r="W28" s="50"/>
      <c r="X28" s="53"/>
      <c r="Y28" s="53"/>
      <c r="Z28" s="34" t="s">
        <v>24</v>
      </c>
      <c r="AA28" s="34" t="s">
        <v>25</v>
      </c>
      <c r="AB28" s="34" t="s">
        <v>24</v>
      </c>
      <c r="AC28" s="34" t="s">
        <v>25</v>
      </c>
      <c r="AD28" s="50"/>
      <c r="AE28" s="34" t="s">
        <v>24</v>
      </c>
      <c r="AF28" s="34" t="s">
        <v>25</v>
      </c>
      <c r="AG28" s="34" t="s">
        <v>24</v>
      </c>
      <c r="AH28" s="34" t="s">
        <v>25</v>
      </c>
      <c r="AI28" s="50"/>
      <c r="AJ28" s="53"/>
      <c r="AK28" s="53"/>
      <c r="AL28" s="34" t="s">
        <v>24</v>
      </c>
      <c r="AM28" s="34" t="s">
        <v>25</v>
      </c>
      <c r="AN28" s="34" t="s">
        <v>24</v>
      </c>
      <c r="AO28" s="34" t="s">
        <v>25</v>
      </c>
      <c r="AP28" s="50"/>
      <c r="AQ28" s="34" t="s">
        <v>24</v>
      </c>
      <c r="AR28" s="34" t="s">
        <v>25</v>
      </c>
      <c r="AS28" s="34" t="s">
        <v>24</v>
      </c>
      <c r="AT28" s="34" t="s">
        <v>25</v>
      </c>
      <c r="AU28" s="50"/>
      <c r="AV28" s="53"/>
      <c r="AW28" s="53"/>
      <c r="AX28" s="34" t="s">
        <v>24</v>
      </c>
      <c r="AY28" s="34" t="s">
        <v>25</v>
      </c>
      <c r="AZ28" s="34" t="s">
        <v>24</v>
      </c>
      <c r="BA28" s="34" t="s">
        <v>25</v>
      </c>
      <c r="BB28" s="50"/>
      <c r="BC28" s="34" t="s">
        <v>24</v>
      </c>
      <c r="BD28" s="34" t="s">
        <v>25</v>
      </c>
      <c r="BE28" s="34" t="s">
        <v>24</v>
      </c>
      <c r="BF28" s="34" t="s">
        <v>25</v>
      </c>
      <c r="BG28" s="50"/>
      <c r="BH28" s="53"/>
      <c r="BI28" s="53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0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252017290</v>
      </c>
      <c r="C29" s="8"/>
      <c r="D29" s="8"/>
      <c r="E29" s="8">
        <v>37800000</v>
      </c>
      <c r="F29" s="8">
        <v>40120887.969999999</v>
      </c>
      <c r="G29" s="8">
        <f>F29-E29</f>
        <v>2320887.9699999988</v>
      </c>
      <c r="H29" s="10"/>
      <c r="I29" s="10"/>
      <c r="J29" s="8">
        <f>17590000-G29</f>
        <v>15269112.030000001</v>
      </c>
      <c r="K29" s="8">
        <v>18554752</v>
      </c>
      <c r="L29" s="8">
        <f>K29-J29</f>
        <v>3285639.9699999988</v>
      </c>
      <c r="M29" s="8">
        <f>F29+K29</f>
        <v>58675639.969999999</v>
      </c>
      <c r="N29" s="11"/>
      <c r="O29" s="11"/>
      <c r="P29" s="8">
        <f>18622000-L29</f>
        <v>15336360.030000001</v>
      </c>
      <c r="Q29" s="8">
        <v>18228518.940000001</v>
      </c>
      <c r="R29" s="8">
        <f>Q29-P29</f>
        <v>2892158.91</v>
      </c>
      <c r="S29" s="10"/>
      <c r="T29" s="10"/>
      <c r="U29" s="8">
        <f>23410000-R29</f>
        <v>20517841.09</v>
      </c>
      <c r="V29" s="8">
        <v>23716976.739999998</v>
      </c>
      <c r="W29" s="8">
        <f>V29-U29</f>
        <v>3199135.6499999985</v>
      </c>
      <c r="X29" s="8">
        <f>Q29+V29</f>
        <v>41945495.68</v>
      </c>
      <c r="Y29" s="9">
        <f>M29+X29</f>
        <v>100621135.65000001</v>
      </c>
      <c r="Z29" s="8"/>
      <c r="AA29" s="8"/>
      <c r="AB29" s="8">
        <f>22580000-W29</f>
        <v>19380864.350000001</v>
      </c>
      <c r="AC29" s="8">
        <v>19842262.649999999</v>
      </c>
      <c r="AD29" s="8">
        <f>AC29-AB29</f>
        <v>461398.29999999702</v>
      </c>
      <c r="AE29" s="10"/>
      <c r="AF29" s="10"/>
      <c r="AG29" s="8">
        <f>18320000-AD29</f>
        <v>17858601.700000003</v>
      </c>
      <c r="AH29" s="8">
        <v>16993553.190000001</v>
      </c>
      <c r="AI29" s="8">
        <f>AH29-AG29</f>
        <v>-865048.51000000164</v>
      </c>
      <c r="AJ29" s="8">
        <f>AC29+AH29</f>
        <v>36835815.840000004</v>
      </c>
      <c r="AK29" s="8">
        <f>Y29+AJ29</f>
        <v>137456951.49000001</v>
      </c>
      <c r="AL29" s="10"/>
      <c r="AM29" s="10"/>
      <c r="AN29" s="8">
        <f>18925000-AI29</f>
        <v>19790048.510000002</v>
      </c>
      <c r="AO29" s="8">
        <v>21086753.219999999</v>
      </c>
      <c r="AP29" s="8">
        <f>AO29-AN29</f>
        <v>1296704.7099999972</v>
      </c>
      <c r="AQ29" s="10"/>
      <c r="AR29" s="10"/>
      <c r="AS29" s="8">
        <f>17866000+10000000-AP29</f>
        <v>26569295.290000003</v>
      </c>
      <c r="AT29" s="8">
        <v>16632265.34</v>
      </c>
      <c r="AU29" s="8">
        <f>AT29-AS29</f>
        <v>-9937029.950000003</v>
      </c>
      <c r="AV29" s="8">
        <f>AO29+AT29</f>
        <v>37719018.560000002</v>
      </c>
      <c r="AW29" s="10">
        <f>AK29+AV29</f>
        <v>175175970.05000001</v>
      </c>
      <c r="AX29" s="10"/>
      <c r="AY29" s="10"/>
      <c r="AZ29" s="8">
        <f>17463000-AU29</f>
        <v>27400029.950000003</v>
      </c>
      <c r="BA29" s="8"/>
      <c r="BB29" s="8">
        <f>BA29-AZ29</f>
        <v>-27400029.950000003</v>
      </c>
      <c r="BC29" s="8"/>
      <c r="BD29" s="8"/>
      <c r="BE29" s="8">
        <v>17540000</v>
      </c>
      <c r="BF29" s="8"/>
      <c r="BG29" s="8">
        <f>BF29-BE29</f>
        <v>-17540000</v>
      </c>
      <c r="BH29" s="8">
        <f>AZ29+BE29</f>
        <v>44940029.950000003</v>
      </c>
      <c r="BI29" s="8">
        <f>AW29+BH29</f>
        <v>220116000</v>
      </c>
      <c r="BJ29" s="10"/>
      <c r="BK29" s="10"/>
      <c r="BL29" s="8">
        <v>15900000</v>
      </c>
      <c r="BM29" s="8"/>
      <c r="BN29" s="10"/>
      <c r="BO29" s="8"/>
      <c r="BP29" s="10"/>
      <c r="BQ29" s="8">
        <v>26001290</v>
      </c>
      <c r="BR29" s="8"/>
      <c r="BS29" s="10"/>
      <c r="BT29" s="8">
        <f>SUM(M29+X29+AJ29+AV29+BH29+BL29+BQ29)</f>
        <v>262017290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252017290</v>
      </c>
      <c r="C30" s="8">
        <f>C23-C39</f>
        <v>3845000</v>
      </c>
      <c r="D30" s="8">
        <f>D23</f>
        <v>3782245.98</v>
      </c>
      <c r="E30" s="8">
        <f>14978057.44</f>
        <v>14978057.439999999</v>
      </c>
      <c r="F30" s="8">
        <v>15781425.439999999</v>
      </c>
      <c r="G30" s="8">
        <f>C30-D30+E30-F30</f>
        <v>-740613.98000000045</v>
      </c>
      <c r="H30" s="8">
        <f>H48-H39</f>
        <v>3738754.02</v>
      </c>
      <c r="I30" s="8">
        <f>I23-I39</f>
        <v>3608931.24</v>
      </c>
      <c r="J30" s="8">
        <f>15016938.68</f>
        <v>15016938.68</v>
      </c>
      <c r="K30" s="8">
        <v>14968632.07</v>
      </c>
      <c r="L30" s="8">
        <f>SUM(H30-I30,J30-K30)</f>
        <v>178129.3899999992</v>
      </c>
      <c r="M30" s="8">
        <f>D30+F30+I30+K30</f>
        <v>38141234.729999997</v>
      </c>
      <c r="N30" s="8">
        <f>N48-N39</f>
        <v>3788822.78</v>
      </c>
      <c r="O30" s="8">
        <f>O48-O39</f>
        <v>3614669.0799999996</v>
      </c>
      <c r="P30" s="8">
        <f>16068663.55</f>
        <v>16068663.550000001</v>
      </c>
      <c r="Q30" s="8">
        <v>18403767.629999999</v>
      </c>
      <c r="R30" s="8">
        <f>SUM(N30-O30,P30-Q30)</f>
        <v>-2160950.379999998</v>
      </c>
      <c r="S30" s="8">
        <f>S48-S39</f>
        <v>3698153.7</v>
      </c>
      <c r="T30" s="8">
        <f>T23-T39</f>
        <v>3468519.1799999997</v>
      </c>
      <c r="U30" s="8">
        <f>16328587.41</f>
        <v>16328587.41</v>
      </c>
      <c r="V30" s="8">
        <v>16374153.59</v>
      </c>
      <c r="W30" s="8">
        <f>SUM(S30-T30,U30-V30)</f>
        <v>184068.34000000078</v>
      </c>
      <c r="X30" s="8">
        <f>O30+Q30+T30+V30</f>
        <v>41861109.479999997</v>
      </c>
      <c r="Y30" s="9">
        <f>M30+X30</f>
        <v>80002344.209999993</v>
      </c>
      <c r="Z30" s="8">
        <f>Z48-Z39</f>
        <v>3303634.52</v>
      </c>
      <c r="AA30" s="8">
        <f>AA48-AA39</f>
        <v>3017059.23</v>
      </c>
      <c r="AB30" s="8">
        <f>18221305.53</f>
        <v>18221305.530000001</v>
      </c>
      <c r="AC30" s="8">
        <v>15383926.119999999</v>
      </c>
      <c r="AD30" s="8">
        <f>Z30-AA30+AB30-AC30</f>
        <v>3123954.7000000011</v>
      </c>
      <c r="AE30" s="8">
        <f>AE48-AE39</f>
        <v>3315575.29</v>
      </c>
      <c r="AF30" s="8">
        <f>AF48-AF39</f>
        <v>3019745.2600000002</v>
      </c>
      <c r="AG30" s="8">
        <v>16504089.720000001</v>
      </c>
      <c r="AH30" s="8">
        <v>17530570.66</v>
      </c>
      <c r="AI30" s="8">
        <f>AE30-AF30+AG30-AH30</f>
        <v>-730650.91000000015</v>
      </c>
      <c r="AJ30" s="8">
        <f>AA30+AC30+AF30+AH30</f>
        <v>38951301.269999996</v>
      </c>
      <c r="AK30" s="8">
        <f>Y30+AJ30</f>
        <v>118953645.47999999</v>
      </c>
      <c r="AL30" s="8">
        <f>AL48-AL39</f>
        <v>3119830.03</v>
      </c>
      <c r="AM30" s="8">
        <f>AM48-AM39</f>
        <v>2793031.59</v>
      </c>
      <c r="AN30" s="8">
        <v>17601354.989999998</v>
      </c>
      <c r="AO30" s="8">
        <v>17219241.43</v>
      </c>
      <c r="AP30" s="8">
        <f>AL30-AM30+AN30-AO30</f>
        <v>708912</v>
      </c>
      <c r="AQ30" s="8">
        <f>AQ48-AQ39</f>
        <v>3250798.4399999995</v>
      </c>
      <c r="AR30" s="8">
        <f>AR48-AR39</f>
        <v>2829095.44</v>
      </c>
      <c r="AS30" s="8">
        <f>17999403.61+10000000</f>
        <v>27999403.609999999</v>
      </c>
      <c r="AT30" s="8">
        <v>17147820.559999999</v>
      </c>
      <c r="AU30" s="8">
        <f>AQ30-AR30+AS30-AT30</f>
        <v>11273286.050000001</v>
      </c>
      <c r="AV30" s="8">
        <f>AM30+AO30+AR30+AT30</f>
        <v>39989189.019999996</v>
      </c>
      <c r="AW30" s="9">
        <f>AK30+AV30</f>
        <v>158942834.5</v>
      </c>
      <c r="AX30" s="8">
        <f>AX48-AX39</f>
        <v>3245702.9999999995</v>
      </c>
      <c r="AY30" s="8">
        <f>AY48-AY39</f>
        <v>0</v>
      </c>
      <c r="AZ30" s="8">
        <f>16471438.13+AU30</f>
        <v>27744724.18</v>
      </c>
      <c r="BA30" s="8"/>
      <c r="BB30" s="8">
        <f>AX30-AY30+AZ30-BA30</f>
        <v>30990427.18</v>
      </c>
      <c r="BC30" s="8">
        <f>BC48-BC39</f>
        <v>2824000</v>
      </c>
      <c r="BD30" s="8">
        <f>BD48-BD39</f>
        <v>0</v>
      </c>
      <c r="BE30" s="8">
        <v>16950041.710000001</v>
      </c>
      <c r="BF30" s="8"/>
      <c r="BG30" s="8">
        <f>BC30-BD30+BE30-BF30</f>
        <v>19774041.710000001</v>
      </c>
      <c r="BH30" s="8">
        <f>AX30+AZ30+BC30+BE30</f>
        <v>50764468.890000001</v>
      </c>
      <c r="BI30" s="9">
        <f>AW30+BH30</f>
        <v>209707303.38999999</v>
      </c>
      <c r="BJ30" s="8">
        <f>BJ48-BJ39</f>
        <v>2489000</v>
      </c>
      <c r="BK30" s="9"/>
      <c r="BL30" s="8">
        <v>21995786.370000001</v>
      </c>
      <c r="BM30" s="9"/>
      <c r="BN30" s="9">
        <f>BM23</f>
        <v>0</v>
      </c>
      <c r="BO30" s="8">
        <f>BO48-BO39</f>
        <v>2512200</v>
      </c>
      <c r="BP30" s="9"/>
      <c r="BQ30" s="8">
        <f>26677422.86-3135731.65</f>
        <v>23541691.210000001</v>
      </c>
      <c r="BR30" s="9"/>
      <c r="BS30" s="9">
        <f>BR23</f>
        <v>0</v>
      </c>
      <c r="BT30" s="8">
        <f>SUM(M30+X30+AJ30+AV30+BH30+BJ30+BL30+BO30+BQ30)</f>
        <v>260245980.97</v>
      </c>
      <c r="BU30" s="8">
        <f>BS23-BS24</f>
        <v>0</v>
      </c>
      <c r="BV30" s="8">
        <f>BT23-BT24</f>
        <v>603198340.0200001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18976942.560000002</v>
      </c>
      <c r="F31" s="8">
        <f>F29-D30-F30</f>
        <v>20557216.550000004</v>
      </c>
      <c r="G31" s="8"/>
      <c r="H31" s="8"/>
      <c r="I31" s="8"/>
      <c r="J31" s="8">
        <f>J29-H30-J30</f>
        <v>-3486580.6699999981</v>
      </c>
      <c r="K31" s="8">
        <f>K29-I30-K30</f>
        <v>-22811.310000000522</v>
      </c>
      <c r="L31" s="8"/>
      <c r="M31" s="8">
        <f>M29-M30</f>
        <v>20534405.240000002</v>
      </c>
      <c r="N31" s="8"/>
      <c r="O31" s="8"/>
      <c r="P31" s="8">
        <f>P29-N30-P30</f>
        <v>-4521126.2999999989</v>
      </c>
      <c r="Q31" s="8">
        <f>Q29-O30-Q30</f>
        <v>-3789917.7699999977</v>
      </c>
      <c r="R31" s="9"/>
      <c r="S31" s="8"/>
      <c r="T31" s="8"/>
      <c r="U31" s="8">
        <f>U29-S30-U30</f>
        <v>491099.98000000045</v>
      </c>
      <c r="V31" s="8">
        <f>V29-T30-V30</f>
        <v>3874303.9699999988</v>
      </c>
      <c r="W31" s="9"/>
      <c r="X31" s="8">
        <f>X29-X30</f>
        <v>84386.20000000298</v>
      </c>
      <c r="Y31" s="9"/>
      <c r="Z31" s="8"/>
      <c r="AA31" s="8"/>
      <c r="AB31" s="8">
        <f>AB29-Z30-AB30</f>
        <v>-2144075.6999999993</v>
      </c>
      <c r="AC31" s="8">
        <f>AC29-AA30-AC30</f>
        <v>1441277.2999999989</v>
      </c>
      <c r="AD31" s="8"/>
      <c r="AE31" s="8"/>
      <c r="AF31" s="8"/>
      <c r="AG31" s="8">
        <f>AG29-AE30-AG30</f>
        <v>-1961063.3099999968</v>
      </c>
      <c r="AH31" s="8">
        <f>AH29-AF30-AH30</f>
        <v>-3556762.7299999986</v>
      </c>
      <c r="AI31" s="8"/>
      <c r="AJ31" s="8">
        <f>AJ29-AJ30</f>
        <v>-2115485.4299999923</v>
      </c>
      <c r="AK31" s="8"/>
      <c r="AL31" s="8"/>
      <c r="AM31" s="8"/>
      <c r="AN31" s="8">
        <f>AN29-AL30-AN30</f>
        <v>-931136.50999999605</v>
      </c>
      <c r="AO31" s="8">
        <f>AO29-AM30-AO30</f>
        <v>1074480.1999999993</v>
      </c>
      <c r="AP31" s="8"/>
      <c r="AQ31" s="8"/>
      <c r="AR31" s="8"/>
      <c r="AS31" s="8">
        <f>AS29-AQ30-AS30</f>
        <v>-4680906.7599999979</v>
      </c>
      <c r="AT31" s="8">
        <f>AO32</f>
        <v>19577786.210000005</v>
      </c>
      <c r="AU31" s="8"/>
      <c r="AV31" s="8">
        <f>AV29-AV30</f>
        <v>-2270170.4599999934</v>
      </c>
      <c r="AW31" s="9"/>
      <c r="AX31" s="8"/>
      <c r="AY31" s="8"/>
      <c r="AZ31" s="8">
        <f>AZ29-AX30-AZ30</f>
        <v>-3590397.2299999967</v>
      </c>
      <c r="BA31" s="8">
        <f>AV32</f>
        <v>16233135.550000019</v>
      </c>
      <c r="BB31" s="8"/>
      <c r="BC31" s="8"/>
      <c r="BD31" s="8"/>
      <c r="BE31" s="8">
        <f>BE29-BC30-BE30</f>
        <v>-2234041.7100000009</v>
      </c>
      <c r="BF31" s="8">
        <f>BA32</f>
        <v>16233135.550000019</v>
      </c>
      <c r="BG31" s="8"/>
      <c r="BH31" s="8">
        <f>BH29-BH30</f>
        <v>-5824438.9399999976</v>
      </c>
      <c r="BI31" s="9"/>
      <c r="BJ31" s="8"/>
      <c r="BK31" s="9"/>
      <c r="BL31" s="8">
        <f>BL29-BJ30-BL30</f>
        <v>-8584786.370000001</v>
      </c>
      <c r="BM31" s="9"/>
      <c r="BN31" s="9"/>
      <c r="BO31" s="8"/>
      <c r="BP31" s="9"/>
      <c r="BQ31" s="8">
        <f>BQ29-BO30-BQ30</f>
        <v>-52601.210000000894</v>
      </c>
      <c r="BR31" s="9"/>
      <c r="BS31" s="9"/>
      <c r="BT31" s="8">
        <f>BT29-BT30</f>
        <v>1771309.0300000012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0</v>
      </c>
      <c r="C32" s="8"/>
      <c r="D32" s="8"/>
      <c r="E32" s="8"/>
      <c r="F32" s="8"/>
      <c r="G32" s="8"/>
      <c r="H32" s="8"/>
      <c r="I32" s="8"/>
      <c r="J32" s="8">
        <f>J31+F31</f>
        <v>17070635.880000006</v>
      </c>
      <c r="K32" s="8">
        <f>K31+F31</f>
        <v>20534405.240000002</v>
      </c>
      <c r="L32" s="8"/>
      <c r="M32" s="8">
        <f>M29+M33-M30</f>
        <v>20534405.240000002</v>
      </c>
      <c r="N32" s="11"/>
      <c r="O32" s="11"/>
      <c r="P32" s="8">
        <f>P31+K32</f>
        <v>16013278.940000003</v>
      </c>
      <c r="Q32" s="8">
        <f>Q31+K32</f>
        <v>16744487.470000004</v>
      </c>
      <c r="R32" s="8"/>
      <c r="S32" s="8"/>
      <c r="T32" s="8"/>
      <c r="U32" s="8">
        <f>U31+Q32</f>
        <v>17235587.450000003</v>
      </c>
      <c r="V32" s="8">
        <f>V31+Q32</f>
        <v>20618791.440000005</v>
      </c>
      <c r="W32" s="8"/>
      <c r="X32" s="8">
        <f>X31+M32</f>
        <v>20618791.440000005</v>
      </c>
      <c r="Y32" s="8" t="e">
        <f>Y29+Y30+#REF!</f>
        <v>#REF!</v>
      </c>
      <c r="Z32" s="8"/>
      <c r="AA32" s="8"/>
      <c r="AB32" s="8">
        <f>AB31+X32</f>
        <v>18474715.740000006</v>
      </c>
      <c r="AC32" s="8">
        <f>AC31+V32</f>
        <v>22060068.740000002</v>
      </c>
      <c r="AD32" s="8"/>
      <c r="AE32" s="8" t="s">
        <v>27</v>
      </c>
      <c r="AF32" s="8"/>
      <c r="AG32" s="8">
        <f>AG31+AB32</f>
        <v>16513652.430000009</v>
      </c>
      <c r="AH32" s="8">
        <f>AH31+AC32</f>
        <v>18503306.010000005</v>
      </c>
      <c r="AI32" s="8"/>
      <c r="AJ32" s="8">
        <f>X32+AJ31</f>
        <v>18503306.010000013</v>
      </c>
      <c r="AK32" s="8" t="e">
        <f>AK29+AK30+#REF!-#REF!-#REF!-#REF!-#REF!</f>
        <v>#REF!</v>
      </c>
      <c r="AL32" s="8" t="s">
        <v>27</v>
      </c>
      <c r="AM32" s="8"/>
      <c r="AN32" s="8">
        <f>AN31+AJ32</f>
        <v>17572169.500000015</v>
      </c>
      <c r="AO32" s="8">
        <f>AH32+AO31</f>
        <v>19577786.210000005</v>
      </c>
      <c r="AP32" s="8"/>
      <c r="AQ32" s="8"/>
      <c r="AR32" s="8"/>
      <c r="AS32" s="8">
        <f>AS31+AN32</f>
        <v>12891262.740000017</v>
      </c>
      <c r="AT32" s="8">
        <f>AT29+AT33-AR30-AT30+AT31</f>
        <v>16233135.550000006</v>
      </c>
      <c r="AU32" s="8"/>
      <c r="AV32" s="8">
        <f>AV31+AJ32</f>
        <v>16233135.550000019</v>
      </c>
      <c r="AW32" s="8" t="e">
        <f>AW29+AW30+#REF!-#REF!-#REF!-#REF!-#REF!</f>
        <v>#REF!</v>
      </c>
      <c r="AX32" s="8"/>
      <c r="AY32" s="8"/>
      <c r="AZ32" s="8">
        <f>AZ31+AV32</f>
        <v>12642738.320000023</v>
      </c>
      <c r="BA32" s="8">
        <f>BA29+BA33-AY30-BA30+BA31</f>
        <v>16233135.550000019</v>
      </c>
      <c r="BB32" s="8"/>
      <c r="BC32" s="8"/>
      <c r="BD32" s="8"/>
      <c r="BE32" s="8">
        <f>BE31+AZ32</f>
        <v>10408696.610000022</v>
      </c>
      <c r="BF32" s="8">
        <f>BF29+BF33-BD30-BF30+BF31</f>
        <v>16233135.550000019</v>
      </c>
      <c r="BG32" s="8"/>
      <c r="BH32" s="8">
        <f>BH31+AV32</f>
        <v>10408696.610000022</v>
      </c>
      <c r="BI32" s="8" t="e">
        <f>BI29+BI30+#REF!-#REF!-#REF!-#REF!-#REF!</f>
        <v>#REF!</v>
      </c>
      <c r="BJ32" s="8"/>
      <c r="BK32" s="8"/>
      <c r="BL32" s="8">
        <f>BL31+BH32</f>
        <v>1823910.2400000207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1771309.0300000198</v>
      </c>
      <c r="BR32" s="8">
        <f>BR29-SUM(BR30:BR31)</f>
        <v>0</v>
      </c>
      <c r="BS32" s="8">
        <f>BS29-SUM(BS30:BS31)</f>
        <v>0</v>
      </c>
      <c r="BT32" s="8">
        <f>BT29+BT33-BT30+BT31</f>
        <v>3542618.0600000024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0</v>
      </c>
      <c r="C33" s="43"/>
      <c r="D33" s="43"/>
      <c r="E33" s="43">
        <f>B33</f>
        <v>0</v>
      </c>
      <c r="F33" s="43"/>
      <c r="G33" s="43">
        <f>E33-F33</f>
        <v>0</v>
      </c>
      <c r="H33" s="43"/>
      <c r="I33" s="43"/>
      <c r="J33" s="43"/>
      <c r="K33" s="43"/>
      <c r="L33" s="43"/>
      <c r="M33" s="43">
        <f>E33+K33</f>
        <v>0</v>
      </c>
      <c r="N33" s="49"/>
      <c r="O33" s="49"/>
      <c r="P33" s="43"/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0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4" t="s">
        <v>34</v>
      </c>
      <c r="B35" s="54"/>
      <c r="C35" s="50" t="s">
        <v>2</v>
      </c>
      <c r="D35" s="50"/>
      <c r="E35" s="50"/>
      <c r="F35" s="50"/>
      <c r="G35" s="34"/>
      <c r="H35" s="50" t="s">
        <v>3</v>
      </c>
      <c r="I35" s="50"/>
      <c r="J35" s="50"/>
      <c r="K35" s="50"/>
      <c r="L35" s="50"/>
      <c r="M35" s="53" t="s">
        <v>4</v>
      </c>
      <c r="N35" s="50" t="s">
        <v>5</v>
      </c>
      <c r="O35" s="50"/>
      <c r="P35" s="50"/>
      <c r="Q35" s="50"/>
      <c r="R35" s="50"/>
      <c r="S35" s="50" t="s">
        <v>6</v>
      </c>
      <c r="T35" s="50"/>
      <c r="U35" s="50"/>
      <c r="V35" s="50"/>
      <c r="W35" s="50"/>
      <c r="X35" s="53" t="s">
        <v>7</v>
      </c>
      <c r="Y35" s="53" t="s">
        <v>8</v>
      </c>
      <c r="Z35" s="50" t="s">
        <v>9</v>
      </c>
      <c r="AA35" s="50"/>
      <c r="AB35" s="50"/>
      <c r="AC35" s="50"/>
      <c r="AD35" s="50"/>
      <c r="AE35" s="50" t="s">
        <v>10</v>
      </c>
      <c r="AF35" s="50"/>
      <c r="AG35" s="50"/>
      <c r="AH35" s="50"/>
      <c r="AI35" s="50"/>
      <c r="AJ35" s="53" t="s">
        <v>11</v>
      </c>
      <c r="AK35" s="53" t="s">
        <v>8</v>
      </c>
      <c r="AL35" s="50" t="s">
        <v>12</v>
      </c>
      <c r="AM35" s="50"/>
      <c r="AN35" s="50"/>
      <c r="AO35" s="50"/>
      <c r="AP35" s="50"/>
      <c r="AQ35" s="50" t="s">
        <v>13</v>
      </c>
      <c r="AR35" s="50"/>
      <c r="AS35" s="50"/>
      <c r="AT35" s="50"/>
      <c r="AU35" s="50"/>
      <c r="AV35" s="53" t="s">
        <v>14</v>
      </c>
      <c r="AW35" s="53" t="s">
        <v>8</v>
      </c>
      <c r="AX35" s="50" t="s">
        <v>15</v>
      </c>
      <c r="AY35" s="50"/>
      <c r="AZ35" s="50"/>
      <c r="BA35" s="50"/>
      <c r="BB35" s="50"/>
      <c r="BC35" s="50" t="s">
        <v>16</v>
      </c>
      <c r="BD35" s="50"/>
      <c r="BE35" s="50"/>
      <c r="BF35" s="50"/>
      <c r="BG35" s="50"/>
      <c r="BH35" s="53" t="s">
        <v>17</v>
      </c>
      <c r="BI35" s="53" t="s">
        <v>8</v>
      </c>
      <c r="BJ35" s="50" t="s">
        <v>18</v>
      </c>
      <c r="BK35" s="50"/>
      <c r="BL35" s="50"/>
      <c r="BM35" s="50"/>
      <c r="BN35" s="50"/>
      <c r="BO35" s="50" t="s">
        <v>19</v>
      </c>
      <c r="BP35" s="50"/>
      <c r="BQ35" s="50"/>
      <c r="BR35" s="50"/>
      <c r="BS35" s="50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4"/>
      <c r="B36" s="54"/>
      <c r="C36" s="50" t="s">
        <v>21</v>
      </c>
      <c r="D36" s="50"/>
      <c r="E36" s="50" t="s">
        <v>22</v>
      </c>
      <c r="F36" s="50"/>
      <c r="G36" s="50" t="s">
        <v>23</v>
      </c>
      <c r="H36" s="50" t="s">
        <v>21</v>
      </c>
      <c r="I36" s="50"/>
      <c r="J36" s="50" t="s">
        <v>22</v>
      </c>
      <c r="K36" s="50"/>
      <c r="L36" s="50" t="s">
        <v>23</v>
      </c>
      <c r="M36" s="53"/>
      <c r="N36" s="50" t="s">
        <v>21</v>
      </c>
      <c r="O36" s="50"/>
      <c r="P36" s="50" t="s">
        <v>22</v>
      </c>
      <c r="Q36" s="50"/>
      <c r="R36" s="50" t="s">
        <v>23</v>
      </c>
      <c r="S36" s="50" t="s">
        <v>21</v>
      </c>
      <c r="T36" s="50"/>
      <c r="U36" s="50" t="s">
        <v>22</v>
      </c>
      <c r="V36" s="50"/>
      <c r="W36" s="50" t="s">
        <v>23</v>
      </c>
      <c r="X36" s="53"/>
      <c r="Y36" s="53"/>
      <c r="Z36" s="50" t="s">
        <v>21</v>
      </c>
      <c r="AA36" s="50"/>
      <c r="AB36" s="50" t="s">
        <v>22</v>
      </c>
      <c r="AC36" s="50"/>
      <c r="AD36" s="50" t="s">
        <v>23</v>
      </c>
      <c r="AE36" s="50" t="s">
        <v>21</v>
      </c>
      <c r="AF36" s="50"/>
      <c r="AG36" s="50" t="s">
        <v>22</v>
      </c>
      <c r="AH36" s="50"/>
      <c r="AI36" s="50" t="s">
        <v>23</v>
      </c>
      <c r="AJ36" s="53"/>
      <c r="AK36" s="53"/>
      <c r="AL36" s="50" t="s">
        <v>21</v>
      </c>
      <c r="AM36" s="50"/>
      <c r="AN36" s="50" t="s">
        <v>22</v>
      </c>
      <c r="AO36" s="50"/>
      <c r="AP36" s="50" t="s">
        <v>23</v>
      </c>
      <c r="AQ36" s="50" t="s">
        <v>21</v>
      </c>
      <c r="AR36" s="50"/>
      <c r="AS36" s="50" t="s">
        <v>22</v>
      </c>
      <c r="AT36" s="50"/>
      <c r="AU36" s="50" t="s">
        <v>23</v>
      </c>
      <c r="AV36" s="53"/>
      <c r="AW36" s="53"/>
      <c r="AX36" s="50" t="s">
        <v>21</v>
      </c>
      <c r="AY36" s="50"/>
      <c r="AZ36" s="50" t="s">
        <v>22</v>
      </c>
      <c r="BA36" s="50"/>
      <c r="BB36" s="50" t="s">
        <v>23</v>
      </c>
      <c r="BC36" s="50" t="s">
        <v>21</v>
      </c>
      <c r="BD36" s="50"/>
      <c r="BE36" s="50" t="s">
        <v>22</v>
      </c>
      <c r="BF36" s="50"/>
      <c r="BG36" s="50" t="s">
        <v>23</v>
      </c>
      <c r="BH36" s="53"/>
      <c r="BI36" s="53"/>
      <c r="BJ36" s="50" t="s">
        <v>21</v>
      </c>
      <c r="BK36" s="50"/>
      <c r="BL36" s="50" t="s">
        <v>22</v>
      </c>
      <c r="BM36" s="50"/>
      <c r="BN36" s="50"/>
      <c r="BO36" s="50" t="s">
        <v>21</v>
      </c>
      <c r="BP36" s="50"/>
      <c r="BQ36" s="50" t="s">
        <v>22</v>
      </c>
      <c r="BR36" s="50"/>
      <c r="BS36" s="50"/>
      <c r="BT36" s="50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4"/>
      <c r="B37" s="54"/>
      <c r="C37" s="34" t="s">
        <v>24</v>
      </c>
      <c r="D37" s="34" t="s">
        <v>25</v>
      </c>
      <c r="E37" s="34" t="s">
        <v>24</v>
      </c>
      <c r="F37" s="34" t="s">
        <v>25</v>
      </c>
      <c r="G37" s="50"/>
      <c r="H37" s="34" t="s">
        <v>24</v>
      </c>
      <c r="I37" s="34" t="s">
        <v>25</v>
      </c>
      <c r="J37" s="34" t="s">
        <v>24</v>
      </c>
      <c r="K37" s="34" t="s">
        <v>25</v>
      </c>
      <c r="L37" s="50"/>
      <c r="M37" s="53"/>
      <c r="N37" s="34" t="s">
        <v>24</v>
      </c>
      <c r="O37" s="34" t="s">
        <v>25</v>
      </c>
      <c r="P37" s="34" t="s">
        <v>24</v>
      </c>
      <c r="Q37" s="34" t="s">
        <v>25</v>
      </c>
      <c r="R37" s="50"/>
      <c r="S37" s="34" t="s">
        <v>24</v>
      </c>
      <c r="T37" s="34" t="s">
        <v>25</v>
      </c>
      <c r="U37" s="34" t="s">
        <v>24</v>
      </c>
      <c r="V37" s="34" t="s">
        <v>25</v>
      </c>
      <c r="W37" s="50"/>
      <c r="X37" s="53"/>
      <c r="Y37" s="53"/>
      <c r="Z37" s="34" t="s">
        <v>24</v>
      </c>
      <c r="AA37" s="34" t="s">
        <v>25</v>
      </c>
      <c r="AB37" s="34" t="s">
        <v>24</v>
      </c>
      <c r="AC37" s="34" t="s">
        <v>25</v>
      </c>
      <c r="AD37" s="50"/>
      <c r="AE37" s="34" t="s">
        <v>24</v>
      </c>
      <c r="AF37" s="34" t="s">
        <v>25</v>
      </c>
      <c r="AG37" s="34" t="s">
        <v>24</v>
      </c>
      <c r="AH37" s="34" t="s">
        <v>25</v>
      </c>
      <c r="AI37" s="50"/>
      <c r="AJ37" s="53"/>
      <c r="AK37" s="53"/>
      <c r="AL37" s="34" t="s">
        <v>24</v>
      </c>
      <c r="AM37" s="34" t="s">
        <v>25</v>
      </c>
      <c r="AN37" s="34" t="s">
        <v>24</v>
      </c>
      <c r="AO37" s="34" t="s">
        <v>25</v>
      </c>
      <c r="AP37" s="50"/>
      <c r="AQ37" s="34" t="s">
        <v>24</v>
      </c>
      <c r="AR37" s="34" t="s">
        <v>25</v>
      </c>
      <c r="AS37" s="34" t="s">
        <v>24</v>
      </c>
      <c r="AT37" s="34" t="s">
        <v>25</v>
      </c>
      <c r="AU37" s="50"/>
      <c r="AV37" s="53"/>
      <c r="AW37" s="53"/>
      <c r="AX37" s="34" t="s">
        <v>24</v>
      </c>
      <c r="AY37" s="34" t="s">
        <v>25</v>
      </c>
      <c r="AZ37" s="34" t="s">
        <v>24</v>
      </c>
      <c r="BA37" s="34" t="s">
        <v>25</v>
      </c>
      <c r="BB37" s="50"/>
      <c r="BC37" s="34" t="s">
        <v>24</v>
      </c>
      <c r="BD37" s="34" t="s">
        <v>25</v>
      </c>
      <c r="BE37" s="34" t="s">
        <v>24</v>
      </c>
      <c r="BF37" s="34" t="s">
        <v>25</v>
      </c>
      <c r="BG37" s="50"/>
      <c r="BH37" s="53"/>
      <c r="BI37" s="53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0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313253910</v>
      </c>
      <c r="C38" s="8"/>
      <c r="D38" s="8"/>
      <c r="E38" s="8">
        <f>E47-E29</f>
        <v>42414719.969999999</v>
      </c>
      <c r="F38" s="8">
        <f>F47-F29</f>
        <v>33266556.710000008</v>
      </c>
      <c r="G38" s="8">
        <f>F38-E38</f>
        <v>-9148163.2599999905</v>
      </c>
      <c r="H38" s="10"/>
      <c r="I38" s="10"/>
      <c r="J38" s="8">
        <f>J47-J29</f>
        <v>31423540.949999996</v>
      </c>
      <c r="K38" s="8">
        <f>K47-K29</f>
        <v>22894627.219999999</v>
      </c>
      <c r="L38" s="8">
        <f>K38-J38</f>
        <v>-8528913.7299999967</v>
      </c>
      <c r="M38" s="8">
        <f>F38+K38</f>
        <v>56161183.930000007</v>
      </c>
      <c r="N38" s="11"/>
      <c r="O38" s="11"/>
      <c r="P38" s="8">
        <f>P47-P29</f>
        <v>34955010.089999996</v>
      </c>
      <c r="Q38" s="8">
        <f>Q47-Q29</f>
        <v>19798675.830000002</v>
      </c>
      <c r="R38" s="8">
        <f>Q38-P38</f>
        <v>-15156334.259999994</v>
      </c>
      <c r="S38" s="10"/>
      <c r="T38" s="10"/>
      <c r="U38" s="8">
        <f>U47-U29</f>
        <v>48123540.219999999</v>
      </c>
      <c r="V38" s="8">
        <f>V47-V29</f>
        <v>23493869.16</v>
      </c>
      <c r="W38" s="8">
        <f>V38-U38</f>
        <v>-24629671.059999999</v>
      </c>
      <c r="X38" s="8">
        <f>Q38+V38</f>
        <v>43292544.990000002</v>
      </c>
      <c r="Y38" s="9">
        <f>M38+X38</f>
        <v>99453728.920000017</v>
      </c>
      <c r="Z38" s="8"/>
      <c r="AA38" s="8"/>
      <c r="AB38" s="8">
        <f>AB47-AB29</f>
        <v>52221266.600000001</v>
      </c>
      <c r="AC38" s="8">
        <f>AC47-AC29</f>
        <v>23514318.740000002</v>
      </c>
      <c r="AD38" s="8">
        <f>AC38-AB38</f>
        <v>-28706947.859999999</v>
      </c>
      <c r="AE38" s="8"/>
      <c r="AF38" s="8"/>
      <c r="AG38" s="8">
        <f>AG47-AG29</f>
        <v>54141542.409999996</v>
      </c>
      <c r="AH38" s="8">
        <f>AH47-AH29</f>
        <v>23689559.379999999</v>
      </c>
      <c r="AI38" s="8">
        <f>AH38-AG38</f>
        <v>-30451983.029999997</v>
      </c>
      <c r="AJ38" s="8">
        <f>AC38+AH38</f>
        <v>47203878.120000005</v>
      </c>
      <c r="AK38" s="8">
        <f>Y38+AJ38</f>
        <v>146657607.04000002</v>
      </c>
      <c r="AL38" s="10"/>
      <c r="AM38" s="10"/>
      <c r="AN38" s="8">
        <f>AN47-AN29</f>
        <v>55955226.890000001</v>
      </c>
      <c r="AO38" s="8">
        <f>AO47-AO29</f>
        <v>22518836.259999998</v>
      </c>
      <c r="AP38" s="8">
        <f>AO38-AN38</f>
        <v>-33436390.630000003</v>
      </c>
      <c r="AQ38" s="10"/>
      <c r="AR38" s="10"/>
      <c r="AS38" s="8">
        <f>AS47-AS29</f>
        <v>62029236.010000005</v>
      </c>
      <c r="AT38" s="8">
        <f>AT47-AT29</f>
        <v>21570517.779999997</v>
      </c>
      <c r="AU38" s="8">
        <f>AT38-AS38</f>
        <v>-40458718.230000004</v>
      </c>
      <c r="AV38" s="8">
        <f>AO38+AT38</f>
        <v>44089354.039999992</v>
      </c>
      <c r="AW38" s="10">
        <f>AK38+AV38</f>
        <v>190746961.08000001</v>
      </c>
      <c r="AX38" s="10"/>
      <c r="AY38" s="10"/>
      <c r="AZ38" s="8">
        <f>AZ47-AZ29</f>
        <v>65221476.980000004</v>
      </c>
      <c r="BA38" s="8">
        <f>BA47-BA29</f>
        <v>0</v>
      </c>
      <c r="BB38" s="8">
        <f>BA38-AZ38</f>
        <v>-65221476.980000004</v>
      </c>
      <c r="BC38" s="10"/>
      <c r="BD38" s="10"/>
      <c r="BE38" s="8">
        <f>BE47-BE29</f>
        <v>23046472.159999996</v>
      </c>
      <c r="BF38" s="8">
        <f>BF47-BF29</f>
        <v>0</v>
      </c>
      <c r="BG38" s="8">
        <f>BF38-BE38</f>
        <v>-23046472.159999996</v>
      </c>
      <c r="BH38" s="8">
        <f>AZ38+BE38</f>
        <v>88267949.140000001</v>
      </c>
      <c r="BI38" s="10">
        <f>AW38+BH38</f>
        <v>279014910.22000003</v>
      </c>
      <c r="BJ38" s="10"/>
      <c r="BK38" s="10"/>
      <c r="BL38" s="8">
        <f>BL47-BL29</f>
        <v>22312333.119999997</v>
      </c>
      <c r="BM38" s="8"/>
      <c r="BN38" s="10"/>
      <c r="BO38" s="10"/>
      <c r="BP38" s="10"/>
      <c r="BQ38" s="8">
        <f>BQ47-BQ29</f>
        <v>30469302.990000002</v>
      </c>
      <c r="BR38" s="8"/>
      <c r="BS38" s="10"/>
      <c r="BT38" s="8">
        <f>SUM(M38+X38+AJ38+AV38+BH38+BL38+BQ38)</f>
        <v>331796546.33000004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2.75" customHeight="1" x14ac:dyDescent="0.2">
      <c r="A39" s="14" t="s">
        <v>33</v>
      </c>
      <c r="B39" s="9">
        <f>B38</f>
        <v>313253910</v>
      </c>
      <c r="C39" s="8"/>
      <c r="D39" s="8"/>
      <c r="E39" s="8">
        <f>E48-E30</f>
        <v>35019035.020000003</v>
      </c>
      <c r="F39" s="8">
        <f>F48-F30</f>
        <v>17338920.340000004</v>
      </c>
      <c r="G39" s="8">
        <f>C39-D39+E39-F39</f>
        <v>17680114.68</v>
      </c>
      <c r="H39" s="8"/>
      <c r="I39" s="8"/>
      <c r="J39" s="8">
        <f>J48-J30</f>
        <v>39697467.960000001</v>
      </c>
      <c r="K39" s="8">
        <f>K23-K30</f>
        <v>18220892.449999996</v>
      </c>
      <c r="L39" s="8">
        <f>SUM(H39-I39,J39-K39)</f>
        <v>21476575.510000005</v>
      </c>
      <c r="M39" s="8">
        <f>D39+F39+I39+K39</f>
        <v>35559812.789999999</v>
      </c>
      <c r="N39" s="8"/>
      <c r="O39" s="8"/>
      <c r="P39" s="8">
        <f>P48-P30</f>
        <v>49110458.629999995</v>
      </c>
      <c r="Q39" s="8">
        <f>Q23-Q30</f>
        <v>20817184.050000001</v>
      </c>
      <c r="R39" s="8">
        <f>SUM(N39-O39,P39-Q39)</f>
        <v>28293274.579999994</v>
      </c>
      <c r="S39" s="8"/>
      <c r="T39" s="8"/>
      <c r="U39" s="8">
        <f>U23-U30</f>
        <v>58128766.250000015</v>
      </c>
      <c r="V39" s="8">
        <f>V23-V30</f>
        <v>21105888.529999997</v>
      </c>
      <c r="W39" s="8">
        <f>SUM(S39-T39,U39-V39)</f>
        <v>37022877.720000014</v>
      </c>
      <c r="X39" s="8">
        <f>N39+Q39+S39+V39</f>
        <v>41923072.579999998</v>
      </c>
      <c r="Y39" s="8">
        <f>M39+X39</f>
        <v>77482885.370000005</v>
      </c>
      <c r="Z39" s="8"/>
      <c r="AA39" s="8"/>
      <c r="AB39" s="8">
        <f>AB48-AB30</f>
        <v>66985381.050000027</v>
      </c>
      <c r="AC39" s="8">
        <f>AC48-AC30</f>
        <v>23709250.060000002</v>
      </c>
      <c r="AD39" s="8">
        <f>Z39-AA39+AB39-AC39</f>
        <v>43276130.990000024</v>
      </c>
      <c r="AE39" s="8"/>
      <c r="AF39" s="8"/>
      <c r="AG39" s="8">
        <f>AG48-AG30</f>
        <v>74312900.139999986</v>
      </c>
      <c r="AH39" s="8">
        <f>AH48-AH30</f>
        <v>25201909.520000007</v>
      </c>
      <c r="AI39" s="8">
        <f>AE39-AF39+AG39-AH39</f>
        <v>49110990.619999975</v>
      </c>
      <c r="AJ39" s="8">
        <f>AC39+AH39</f>
        <v>48911159.580000013</v>
      </c>
      <c r="AK39" s="8">
        <f>Y39+AJ39</f>
        <v>126394044.95000002</v>
      </c>
      <c r="AL39" s="8"/>
      <c r="AM39" s="8"/>
      <c r="AN39" s="8">
        <f>AN48-AN30</f>
        <v>77830939.100000009</v>
      </c>
      <c r="AO39" s="8">
        <f>AO48-AO30</f>
        <v>23714404.240000002</v>
      </c>
      <c r="AP39" s="8">
        <f>AL39-AM39+AN39-AO39</f>
        <v>54116534.860000007</v>
      </c>
      <c r="AQ39" s="8"/>
      <c r="AR39" s="8"/>
      <c r="AS39" s="8">
        <f>AS48-AS30</f>
        <v>85099260.939999983</v>
      </c>
      <c r="AT39" s="8">
        <f>AT48-AT30</f>
        <v>24561256.600000005</v>
      </c>
      <c r="AU39" s="8">
        <f>AQ39-AR39+AS39-AT39</f>
        <v>60538004.339999974</v>
      </c>
      <c r="AV39" s="8">
        <f>AL39+AO39+AQ39+AT39</f>
        <v>48275660.840000004</v>
      </c>
      <c r="AW39" s="9">
        <f>AK39+AV39</f>
        <v>174669705.79000002</v>
      </c>
      <c r="AX39" s="8"/>
      <c r="AY39" s="8"/>
      <c r="AZ39" s="8">
        <f>AZ48-AZ30</f>
        <v>83985984.669999987</v>
      </c>
      <c r="BA39" s="8">
        <f>BA23-BA30</f>
        <v>0</v>
      </c>
      <c r="BB39" s="8">
        <f>AX39-AY39+AZ39-BA39</f>
        <v>83985984.669999987</v>
      </c>
      <c r="BC39" s="8"/>
      <c r="BD39" s="8"/>
      <c r="BE39" s="8">
        <f>BE48-BE30</f>
        <v>24417613.060000002</v>
      </c>
      <c r="BF39" s="8">
        <f>BF23-BF30</f>
        <v>0</v>
      </c>
      <c r="BG39" s="8">
        <f>BC39-BD39+BE39-BF39</f>
        <v>24417613.060000002</v>
      </c>
      <c r="BH39" s="8">
        <f>AX39+AZ39+BC39+BE39</f>
        <v>108403597.72999999</v>
      </c>
      <c r="BI39" s="9">
        <f>AW39+BH39</f>
        <v>283073303.51999998</v>
      </c>
      <c r="BJ39" s="8"/>
      <c r="BK39" s="8"/>
      <c r="BL39" s="8">
        <f>BL48-BL30</f>
        <v>28005634.080000002</v>
      </c>
      <c r="BM39" s="8"/>
      <c r="BN39" s="8" t="e">
        <f>#REF!</f>
        <v>#REF!</v>
      </c>
      <c r="BO39" s="8"/>
      <c r="BP39" s="8"/>
      <c r="BQ39" s="8">
        <f>BQ48-BQ30</f>
        <v>31873421.45000001</v>
      </c>
      <c r="BR39" s="9"/>
      <c r="BS39" s="9" t="e">
        <f>#REF!</f>
        <v>#REF!</v>
      </c>
      <c r="BT39" s="8">
        <f>SUM(M39+X39+AJ39+AV39+BH39+BJ39+BL39+BO39+BQ39)</f>
        <v>342952359.04999995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</f>
        <v>7395684.9499999955</v>
      </c>
      <c r="F40" s="8">
        <f>F38-F39</f>
        <v>15927636.370000005</v>
      </c>
      <c r="G40" s="8"/>
      <c r="H40" s="8"/>
      <c r="I40" s="8"/>
      <c r="J40" s="8">
        <f>J38-J39</f>
        <v>-8273927.0100000054</v>
      </c>
      <c r="K40" s="8">
        <f>K38-K39</f>
        <v>4673734.7700000033</v>
      </c>
      <c r="L40" s="8"/>
      <c r="M40" s="8">
        <f>M38-M39</f>
        <v>20601371.140000008</v>
      </c>
      <c r="N40" s="8"/>
      <c r="O40" s="8"/>
      <c r="P40" s="8">
        <f>P38-P39</f>
        <v>-14155448.539999999</v>
      </c>
      <c r="Q40" s="8">
        <f>Q38-Q39</f>
        <v>-1018508.2199999988</v>
      </c>
      <c r="R40" s="8"/>
      <c r="S40" s="8"/>
      <c r="T40" s="8"/>
      <c r="U40" s="8">
        <f>U38-U39</f>
        <v>-10005226.030000016</v>
      </c>
      <c r="V40" s="8">
        <f>V38-V39</f>
        <v>2387980.6300000027</v>
      </c>
      <c r="W40" s="8"/>
      <c r="X40" s="8">
        <f>X38-X39</f>
        <v>1369472.4100000039</v>
      </c>
      <c r="Y40" s="8"/>
      <c r="Z40" s="8"/>
      <c r="AA40" s="8"/>
      <c r="AB40" s="8">
        <f>AB38-AB39</f>
        <v>-14764114.450000025</v>
      </c>
      <c r="AC40" s="8">
        <f>AC38-AC39</f>
        <v>-194931.3200000003</v>
      </c>
      <c r="AD40" s="8"/>
      <c r="AE40" s="8"/>
      <c r="AF40" s="8"/>
      <c r="AG40" s="8">
        <f>AG38-AG39</f>
        <v>-20171357.729999989</v>
      </c>
      <c r="AH40" s="8">
        <f>AH38-AH39</f>
        <v>-1512350.140000008</v>
      </c>
      <c r="AI40" s="8"/>
      <c r="AJ40" s="8">
        <f>AJ38-AJ39</f>
        <v>-1707281.4600000083</v>
      </c>
      <c r="AK40" s="8"/>
      <c r="AL40" s="8"/>
      <c r="AM40" s="8"/>
      <c r="AN40" s="8">
        <f>AN38-AN39</f>
        <v>-21875712.210000008</v>
      </c>
      <c r="AO40" s="8">
        <f>AH41</f>
        <v>54955552.560000032</v>
      </c>
      <c r="AP40" s="8"/>
      <c r="AQ40" s="8"/>
      <c r="AR40" s="8"/>
      <c r="AS40" s="8">
        <f>AS38-AS39</f>
        <v>-23070024.929999977</v>
      </c>
      <c r="AT40" s="8">
        <f>AO41</f>
        <v>54366801.200000033</v>
      </c>
      <c r="AU40" s="8"/>
      <c r="AV40" s="8">
        <f>AV38-AV39</f>
        <v>-4186306.8000000119</v>
      </c>
      <c r="AW40" s="9"/>
      <c r="AX40" s="8"/>
      <c r="AY40" s="8"/>
      <c r="AZ40" s="8">
        <f>AZ38-AZ39</f>
        <v>-18764507.689999983</v>
      </c>
      <c r="BA40" s="8">
        <f>BA49-BA31</f>
        <v>50769245.759999983</v>
      </c>
      <c r="BB40" s="8"/>
      <c r="BC40" s="8"/>
      <c r="BD40" s="8"/>
      <c r="BE40" s="8">
        <f>BE38-BE39</f>
        <v>-1371140.900000006</v>
      </c>
      <c r="BF40" s="8">
        <f>BA41</f>
        <v>50769245.759999983</v>
      </c>
      <c r="BG40" s="8"/>
      <c r="BH40" s="8">
        <f>BH38-BH39</f>
        <v>-20135648.589999989</v>
      </c>
      <c r="BI40" s="9"/>
      <c r="BJ40" s="8"/>
      <c r="BK40" s="8"/>
      <c r="BL40" s="8">
        <f>BL38-BL39</f>
        <v>-5693300.9600000046</v>
      </c>
      <c r="BM40" s="8"/>
      <c r="BN40" s="8"/>
      <c r="BO40" s="8"/>
      <c r="BP40" s="8"/>
      <c r="BQ40" s="8">
        <f>BQ38-BQ39</f>
        <v>-1404118.4600000083</v>
      </c>
      <c r="BR40" s="9"/>
      <c r="BS40" s="9"/>
      <c r="BT40" s="8">
        <f>BT38-BT39</f>
        <v>-11155812.719999909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34691990.470000029</v>
      </c>
      <c r="C41" s="8"/>
      <c r="D41" s="8"/>
      <c r="E41" s="8">
        <f>E40+B41</f>
        <v>42087675.420000024</v>
      </c>
      <c r="F41" s="8">
        <f>F40+B41</f>
        <v>50619626.840000033</v>
      </c>
      <c r="G41" s="8"/>
      <c r="H41" s="8"/>
      <c r="I41" s="8"/>
      <c r="J41" s="8">
        <f>J40+F41</f>
        <v>42345699.830000028</v>
      </c>
      <c r="K41" s="8">
        <f>K40+F41</f>
        <v>55293361.610000037</v>
      </c>
      <c r="L41" s="8"/>
      <c r="M41" s="8">
        <f>M40+B41</f>
        <v>55293361.610000037</v>
      </c>
      <c r="N41" s="10"/>
      <c r="O41" s="10"/>
      <c r="P41" s="8">
        <f>P40+K41</f>
        <v>41137913.070000038</v>
      </c>
      <c r="Q41" s="8">
        <f>Q40+K41</f>
        <v>54274853.390000038</v>
      </c>
      <c r="R41" s="8"/>
      <c r="S41" s="8"/>
      <c r="T41" s="8"/>
      <c r="U41" s="8">
        <f>U40+Q41</f>
        <v>44269627.360000022</v>
      </c>
      <c r="V41" s="8">
        <f>V40+Q41</f>
        <v>56662834.020000041</v>
      </c>
      <c r="W41" s="8"/>
      <c r="X41" s="8">
        <f>X40+M41</f>
        <v>56662834.020000041</v>
      </c>
      <c r="Y41" s="8">
        <f>Y38+Y42+Y39</f>
        <v>178204344.14000002</v>
      </c>
      <c r="Z41" s="8"/>
      <c r="AA41" s="8"/>
      <c r="AB41" s="8">
        <f>AB40+V41</f>
        <v>41898719.570000015</v>
      </c>
      <c r="AC41" s="8">
        <f>AC40+V41</f>
        <v>56467902.70000004</v>
      </c>
      <c r="AD41" s="8"/>
      <c r="AE41" s="8"/>
      <c r="AF41" s="8"/>
      <c r="AG41" s="8">
        <f>AG40+AB41</f>
        <v>21727361.840000026</v>
      </c>
      <c r="AH41" s="8">
        <f>AH40+AC41</f>
        <v>54955552.560000032</v>
      </c>
      <c r="AI41" s="8"/>
      <c r="AJ41" s="8">
        <f>AJ40+X41</f>
        <v>54955552.560000032</v>
      </c>
      <c r="AK41" s="8" t="e">
        <f>AK38+AK42+AK39-#REF!-#REF!</f>
        <v>#REF!</v>
      </c>
      <c r="AL41" s="8"/>
      <c r="AM41" s="8"/>
      <c r="AN41" s="8">
        <f>AN40+AG41</f>
        <v>-148350.36999998242</v>
      </c>
      <c r="AO41" s="8">
        <f>AO38+AO42-AM39-AO39+AO40</f>
        <v>54366801.200000033</v>
      </c>
      <c r="AP41" s="8"/>
      <c r="AQ41" s="8"/>
      <c r="AR41" s="8"/>
      <c r="AS41" s="8">
        <f>AS40+AN41</f>
        <v>-23218375.29999996</v>
      </c>
      <c r="AT41" s="8">
        <f>AT38+AT42-AR39-AT39+AT40</f>
        <v>51679326.520000026</v>
      </c>
      <c r="AU41" s="8"/>
      <c r="AV41" s="8">
        <f>AV40+AJ41</f>
        <v>50769245.76000002</v>
      </c>
      <c r="AW41" s="8" t="e">
        <f>AW38+AW42+AW39-#REF!-#REF!</f>
        <v>#REF!</v>
      </c>
      <c r="AX41" s="8"/>
      <c r="AY41" s="8"/>
      <c r="AZ41" s="8">
        <f>AZ40+AV41</f>
        <v>32004738.070000038</v>
      </c>
      <c r="BA41" s="8">
        <f>BA38+BA42-AY39-BA39+BA40</f>
        <v>50769245.759999983</v>
      </c>
      <c r="BB41" s="8"/>
      <c r="BC41" s="8"/>
      <c r="BD41" s="8"/>
      <c r="BE41" s="8">
        <f>BE40+AZ41</f>
        <v>30633597.170000032</v>
      </c>
      <c r="BF41" s="8">
        <f>BF38+BF42-BD39-BF39+BF40</f>
        <v>50769245.759999983</v>
      </c>
      <c r="BG41" s="8"/>
      <c r="BH41" s="8">
        <f>BH40+AV41</f>
        <v>30633597.170000032</v>
      </c>
      <c r="BI41" s="8" t="e">
        <f>BI38+BI42+BI39-#REF!-#REF!</f>
        <v>#REF!</v>
      </c>
      <c r="BJ41" s="8"/>
      <c r="BK41" s="8"/>
      <c r="BL41" s="8">
        <f>BL40+BH41</f>
        <v>24940296.210000027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23536177.750000019</v>
      </c>
      <c r="BR41" s="8">
        <f>BR38-SUM(BR39:BR39)</f>
        <v>0</v>
      </c>
      <c r="BS41" s="8" t="e">
        <f>BS38-SUM(BS39:BS39)</f>
        <v>#REF!</v>
      </c>
      <c r="BT41" s="8">
        <f>BT40+BT42</f>
        <v>23536177.750000089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34691990.469999999</v>
      </c>
      <c r="C42" s="43"/>
      <c r="D42" s="43"/>
      <c r="E42" s="43">
        <f>B42</f>
        <v>34691990.469999999</v>
      </c>
      <c r="F42" s="43">
        <f>F51-F33</f>
        <v>5180806.38</v>
      </c>
      <c r="G42" s="43">
        <f>E42-F42</f>
        <v>29511184.09</v>
      </c>
      <c r="H42" s="43"/>
      <c r="I42" s="43"/>
      <c r="J42" s="43">
        <f>G42</f>
        <v>29511184.09</v>
      </c>
      <c r="K42" s="43">
        <f>K51-K33</f>
        <v>419159.49</v>
      </c>
      <c r="L42" s="43">
        <f>G42-K42</f>
        <v>29092024.600000001</v>
      </c>
      <c r="M42" s="43">
        <f>F42+K42</f>
        <v>5599965.8700000001</v>
      </c>
      <c r="N42" s="49"/>
      <c r="O42" s="49"/>
      <c r="P42" s="43">
        <f>P51</f>
        <v>29092024.600000001</v>
      </c>
      <c r="Q42" s="43">
        <f>Q51-Q33</f>
        <v>844084.57</v>
      </c>
      <c r="R42" s="43">
        <f>P42-Q42</f>
        <v>28247940.030000001</v>
      </c>
      <c r="S42" s="43"/>
      <c r="T42" s="43"/>
      <c r="U42" s="43">
        <f>R42</f>
        <v>28247940.030000001</v>
      </c>
      <c r="V42" s="43">
        <f>V51-V33</f>
        <v>423645.28</v>
      </c>
      <c r="W42" s="43">
        <f>R42-V42</f>
        <v>27824294.75</v>
      </c>
      <c r="X42" s="43">
        <f>Q42+V42</f>
        <v>1267729.8500000001</v>
      </c>
      <c r="Y42" s="45">
        <f>X42</f>
        <v>1267729.8500000001</v>
      </c>
      <c r="Z42" s="43"/>
      <c r="AA42" s="43"/>
      <c r="AB42" s="43">
        <f>W42</f>
        <v>27824294.75</v>
      </c>
      <c r="AC42" s="43">
        <f>AC51-AC33</f>
        <v>544727.21</v>
      </c>
      <c r="AD42" s="43">
        <f>W42-AC42</f>
        <v>27279567.539999999</v>
      </c>
      <c r="AE42" s="43"/>
      <c r="AF42" s="43"/>
      <c r="AG42" s="43">
        <f>AD42</f>
        <v>27279567.539999999</v>
      </c>
      <c r="AH42" s="43">
        <f>AH51-AH33</f>
        <v>1062000</v>
      </c>
      <c r="AI42" s="43">
        <f>AG42-AH42</f>
        <v>26217567.539999999</v>
      </c>
      <c r="AJ42" s="43">
        <f>AC42+AH42</f>
        <v>1606727.21</v>
      </c>
      <c r="AK42" s="43">
        <f>Y42+AJ42</f>
        <v>2874457.06</v>
      </c>
      <c r="AL42" s="43"/>
      <c r="AM42" s="43"/>
      <c r="AN42" s="43">
        <f>AI42</f>
        <v>26217567.539999999</v>
      </c>
      <c r="AO42" s="43">
        <f>AO51-AO33</f>
        <v>606816.62</v>
      </c>
      <c r="AP42" s="43">
        <f>AI42-AO42</f>
        <v>25610750.919999998</v>
      </c>
      <c r="AQ42" s="43"/>
      <c r="AR42" s="43"/>
      <c r="AS42" s="43">
        <f>AN42</f>
        <v>26217567.539999999</v>
      </c>
      <c r="AT42" s="43">
        <f>AT51</f>
        <v>303264.14</v>
      </c>
      <c r="AU42" s="43">
        <f>AS42-AT42</f>
        <v>25914303.399999999</v>
      </c>
      <c r="AV42" s="43">
        <f>AO42+AT42</f>
        <v>910080.76</v>
      </c>
      <c r="AW42" s="43">
        <f>AK42+AV42</f>
        <v>3784537.8200000003</v>
      </c>
      <c r="AX42" s="43"/>
      <c r="AY42" s="43"/>
      <c r="AZ42" s="43">
        <f>AZ51-AZ33</f>
        <v>25307486.779999997</v>
      </c>
      <c r="BA42" s="43">
        <f>BA51</f>
        <v>0</v>
      </c>
      <c r="BB42" s="43">
        <f>AU42-BA42</f>
        <v>25914303.399999999</v>
      </c>
      <c r="BC42" s="43"/>
      <c r="BD42" s="43"/>
      <c r="BE42" s="43">
        <f>BB42</f>
        <v>25914303.399999999</v>
      </c>
      <c r="BF42" s="43">
        <f>BF51</f>
        <v>0</v>
      </c>
      <c r="BG42" s="43">
        <f>BE42-BF42</f>
        <v>25914303.399999999</v>
      </c>
      <c r="BH42" s="43">
        <f>BA42+BF42</f>
        <v>0</v>
      </c>
      <c r="BI42" s="43">
        <f>AW42+BH42</f>
        <v>3784537.8200000003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34691990.469999999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4" t="s">
        <v>36</v>
      </c>
      <c r="B44" s="54"/>
      <c r="C44" s="50" t="s">
        <v>2</v>
      </c>
      <c r="D44" s="50"/>
      <c r="E44" s="50"/>
      <c r="F44" s="50"/>
      <c r="G44" s="34"/>
      <c r="H44" s="50" t="s">
        <v>3</v>
      </c>
      <c r="I44" s="50"/>
      <c r="J44" s="50"/>
      <c r="K44" s="50"/>
      <c r="L44" s="50"/>
      <c r="M44" s="53" t="s">
        <v>4</v>
      </c>
      <c r="N44" s="50" t="s">
        <v>5</v>
      </c>
      <c r="O44" s="50"/>
      <c r="P44" s="50"/>
      <c r="Q44" s="50"/>
      <c r="R44" s="50"/>
      <c r="S44" s="50" t="s">
        <v>6</v>
      </c>
      <c r="T44" s="50"/>
      <c r="U44" s="50"/>
      <c r="V44" s="50"/>
      <c r="W44" s="50"/>
      <c r="X44" s="53" t="s">
        <v>7</v>
      </c>
      <c r="Y44" s="53" t="s">
        <v>8</v>
      </c>
      <c r="Z44" s="50" t="s">
        <v>9</v>
      </c>
      <c r="AA44" s="50"/>
      <c r="AB44" s="50"/>
      <c r="AC44" s="50"/>
      <c r="AD44" s="50"/>
      <c r="AE44" s="50" t="s">
        <v>10</v>
      </c>
      <c r="AF44" s="50"/>
      <c r="AG44" s="50"/>
      <c r="AH44" s="50"/>
      <c r="AI44" s="50"/>
      <c r="AJ44" s="53" t="s">
        <v>11</v>
      </c>
      <c r="AK44" s="53" t="s">
        <v>8</v>
      </c>
      <c r="AL44" s="50" t="s">
        <v>12</v>
      </c>
      <c r="AM44" s="50"/>
      <c r="AN44" s="50"/>
      <c r="AO44" s="50"/>
      <c r="AP44" s="50"/>
      <c r="AQ44" s="50" t="s">
        <v>13</v>
      </c>
      <c r="AR44" s="50"/>
      <c r="AS44" s="50"/>
      <c r="AT44" s="50"/>
      <c r="AU44" s="50"/>
      <c r="AV44" s="53" t="s">
        <v>14</v>
      </c>
      <c r="AW44" s="53" t="s">
        <v>8</v>
      </c>
      <c r="AX44" s="50" t="s">
        <v>15</v>
      </c>
      <c r="AY44" s="50"/>
      <c r="AZ44" s="50"/>
      <c r="BA44" s="50"/>
      <c r="BB44" s="50"/>
      <c r="BC44" s="50" t="s">
        <v>16</v>
      </c>
      <c r="BD44" s="50"/>
      <c r="BE44" s="50"/>
      <c r="BF44" s="50"/>
      <c r="BG44" s="50"/>
      <c r="BH44" s="53" t="s">
        <v>17</v>
      </c>
      <c r="BI44" s="53" t="s">
        <v>8</v>
      </c>
      <c r="BJ44" s="50" t="s">
        <v>18</v>
      </c>
      <c r="BK44" s="50"/>
      <c r="BL44" s="50"/>
      <c r="BM44" s="50"/>
      <c r="BN44" s="50"/>
      <c r="BO44" s="50" t="s">
        <v>19</v>
      </c>
      <c r="BP44" s="50"/>
      <c r="BQ44" s="50"/>
      <c r="BR44" s="50"/>
      <c r="BS44" s="50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4"/>
      <c r="B45" s="54"/>
      <c r="C45" s="50" t="s">
        <v>21</v>
      </c>
      <c r="D45" s="50"/>
      <c r="E45" s="50" t="s">
        <v>22</v>
      </c>
      <c r="F45" s="50"/>
      <c r="G45" s="50" t="s">
        <v>23</v>
      </c>
      <c r="H45" s="50" t="s">
        <v>21</v>
      </c>
      <c r="I45" s="50"/>
      <c r="J45" s="50" t="s">
        <v>22</v>
      </c>
      <c r="K45" s="50"/>
      <c r="L45" s="50" t="s">
        <v>23</v>
      </c>
      <c r="M45" s="53"/>
      <c r="N45" s="50" t="s">
        <v>21</v>
      </c>
      <c r="O45" s="50"/>
      <c r="P45" s="50" t="s">
        <v>22</v>
      </c>
      <c r="Q45" s="50"/>
      <c r="R45" s="50" t="s">
        <v>23</v>
      </c>
      <c r="S45" s="50" t="s">
        <v>21</v>
      </c>
      <c r="T45" s="50"/>
      <c r="U45" s="50" t="s">
        <v>22</v>
      </c>
      <c r="V45" s="50"/>
      <c r="W45" s="50" t="s">
        <v>23</v>
      </c>
      <c r="X45" s="53"/>
      <c r="Y45" s="53"/>
      <c r="Z45" s="50" t="s">
        <v>21</v>
      </c>
      <c r="AA45" s="50"/>
      <c r="AB45" s="50" t="s">
        <v>22</v>
      </c>
      <c r="AC45" s="50"/>
      <c r="AD45" s="50" t="s">
        <v>23</v>
      </c>
      <c r="AE45" s="50" t="s">
        <v>21</v>
      </c>
      <c r="AF45" s="50"/>
      <c r="AG45" s="50" t="s">
        <v>22</v>
      </c>
      <c r="AH45" s="50"/>
      <c r="AI45" s="50" t="s">
        <v>23</v>
      </c>
      <c r="AJ45" s="53"/>
      <c r="AK45" s="53"/>
      <c r="AL45" s="50" t="s">
        <v>21</v>
      </c>
      <c r="AM45" s="50"/>
      <c r="AN45" s="50" t="s">
        <v>22</v>
      </c>
      <c r="AO45" s="50"/>
      <c r="AP45" s="50" t="s">
        <v>23</v>
      </c>
      <c r="AQ45" s="50" t="s">
        <v>21</v>
      </c>
      <c r="AR45" s="50"/>
      <c r="AS45" s="50" t="s">
        <v>22</v>
      </c>
      <c r="AT45" s="50"/>
      <c r="AU45" s="50" t="s">
        <v>23</v>
      </c>
      <c r="AV45" s="53"/>
      <c r="AW45" s="53"/>
      <c r="AX45" s="50" t="s">
        <v>21</v>
      </c>
      <c r="AY45" s="50"/>
      <c r="AZ45" s="50" t="s">
        <v>22</v>
      </c>
      <c r="BA45" s="50"/>
      <c r="BB45" s="50" t="s">
        <v>23</v>
      </c>
      <c r="BC45" s="50" t="s">
        <v>21</v>
      </c>
      <c r="BD45" s="50"/>
      <c r="BE45" s="50" t="s">
        <v>22</v>
      </c>
      <c r="BF45" s="50"/>
      <c r="BG45" s="50" t="s">
        <v>23</v>
      </c>
      <c r="BH45" s="53"/>
      <c r="BI45" s="53"/>
      <c r="BJ45" s="50" t="s">
        <v>21</v>
      </c>
      <c r="BK45" s="50"/>
      <c r="BL45" s="50" t="s">
        <v>22</v>
      </c>
      <c r="BM45" s="50"/>
      <c r="BN45" s="50"/>
      <c r="BO45" s="50" t="s">
        <v>21</v>
      </c>
      <c r="BP45" s="50"/>
      <c r="BQ45" s="50" t="s">
        <v>22</v>
      </c>
      <c r="BR45" s="50"/>
      <c r="BS45" s="50"/>
      <c r="BT45" s="50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4"/>
      <c r="B46" s="54"/>
      <c r="C46" s="34" t="s">
        <v>24</v>
      </c>
      <c r="D46" s="34" t="s">
        <v>25</v>
      </c>
      <c r="E46" s="34" t="s">
        <v>24</v>
      </c>
      <c r="F46" s="34" t="s">
        <v>25</v>
      </c>
      <c r="G46" s="50"/>
      <c r="H46" s="34" t="s">
        <v>24</v>
      </c>
      <c r="I46" s="34" t="s">
        <v>25</v>
      </c>
      <c r="J46" s="34" t="s">
        <v>24</v>
      </c>
      <c r="K46" s="34" t="s">
        <v>25</v>
      </c>
      <c r="L46" s="50"/>
      <c r="M46" s="53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0"/>
      <c r="S46" s="34" t="s">
        <v>24</v>
      </c>
      <c r="T46" s="34" t="s">
        <v>25</v>
      </c>
      <c r="U46" s="34" t="s">
        <v>24</v>
      </c>
      <c r="V46" s="34" t="s">
        <v>25</v>
      </c>
      <c r="W46" s="50"/>
      <c r="X46" s="53"/>
      <c r="Y46" s="53"/>
      <c r="Z46" s="34" t="s">
        <v>24</v>
      </c>
      <c r="AA46" s="34" t="s">
        <v>25</v>
      </c>
      <c r="AB46" s="34" t="s">
        <v>24</v>
      </c>
      <c r="AC46" s="34" t="s">
        <v>25</v>
      </c>
      <c r="AD46" s="50"/>
      <c r="AE46" s="34" t="s">
        <v>24</v>
      </c>
      <c r="AF46" s="34" t="s">
        <v>25</v>
      </c>
      <c r="AG46" s="34" t="s">
        <v>24</v>
      </c>
      <c r="AH46" s="34" t="s">
        <v>25</v>
      </c>
      <c r="AI46" s="50"/>
      <c r="AJ46" s="53"/>
      <c r="AK46" s="53"/>
      <c r="AL46" s="34" t="s">
        <v>24</v>
      </c>
      <c r="AM46" s="34" t="s">
        <v>25</v>
      </c>
      <c r="AN46" s="34" t="s">
        <v>24</v>
      </c>
      <c r="AO46" s="34" t="s">
        <v>25</v>
      </c>
      <c r="AP46" s="50"/>
      <c r="AQ46" s="34" t="s">
        <v>24</v>
      </c>
      <c r="AR46" s="34" t="s">
        <v>25</v>
      </c>
      <c r="AS46" s="34" t="s">
        <v>24</v>
      </c>
      <c r="AT46" s="34" t="s">
        <v>25</v>
      </c>
      <c r="AU46" s="50"/>
      <c r="AV46" s="53"/>
      <c r="AW46" s="53"/>
      <c r="AX46" s="34" t="s">
        <v>24</v>
      </c>
      <c r="AY46" s="34" t="s">
        <v>25</v>
      </c>
      <c r="AZ46" s="34" t="s">
        <v>24</v>
      </c>
      <c r="BA46" s="34" t="s">
        <v>25</v>
      </c>
      <c r="BB46" s="50"/>
      <c r="BC46" s="34" t="s">
        <v>24</v>
      </c>
      <c r="BD46" s="34" t="s">
        <v>25</v>
      </c>
      <c r="BE46" s="34" t="s">
        <v>24</v>
      </c>
      <c r="BF46" s="34" t="s">
        <v>25</v>
      </c>
      <c r="BG46" s="50"/>
      <c r="BH46" s="53"/>
      <c r="BI46" s="53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0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565271200</v>
      </c>
      <c r="C47" s="9" t="s">
        <v>27</v>
      </c>
      <c r="D47" s="9"/>
      <c r="E47" s="8">
        <f>74898433.47+5316286.5</f>
        <v>80214719.969999999</v>
      </c>
      <c r="F47" s="8">
        <v>73387444.680000007</v>
      </c>
      <c r="G47" s="8">
        <f>F47-E47</f>
        <v>-6827275.2899999917</v>
      </c>
      <c r="H47" s="8" t="s">
        <v>27</v>
      </c>
      <c r="I47" s="8"/>
      <c r="J47" s="8">
        <f>39512456.99+352920.7-G47</f>
        <v>46692652.979999997</v>
      </c>
      <c r="K47" s="8">
        <v>41449379.219999999</v>
      </c>
      <c r="L47" s="8">
        <f>K47-J47</f>
        <v>-5243273.7599999979</v>
      </c>
      <c r="M47" s="9">
        <f>F47+K47</f>
        <v>114836823.90000001</v>
      </c>
      <c r="N47" s="11" t="s">
        <v>27</v>
      </c>
      <c r="O47" s="11"/>
      <c r="P47" s="8">
        <f>43638936.64-L47+1409159.72</f>
        <v>50291370.119999997</v>
      </c>
      <c r="Q47" s="8">
        <v>38027194.770000003</v>
      </c>
      <c r="R47" s="8">
        <f>Q47-P47</f>
        <v>-12264175.349999994</v>
      </c>
      <c r="S47" s="8" t="s">
        <v>27</v>
      </c>
      <c r="T47" s="8"/>
      <c r="U47" s="8">
        <f>51326624.96+5050581-R47</f>
        <v>68641381.310000002</v>
      </c>
      <c r="V47" s="8">
        <v>47210845.899999999</v>
      </c>
      <c r="W47" s="8">
        <f>V47-U47</f>
        <v>-21430535.410000004</v>
      </c>
      <c r="X47" s="9">
        <f>Q47+V47</f>
        <v>85238040.670000002</v>
      </c>
      <c r="Y47" s="8">
        <f>M47+X47</f>
        <v>200074864.56999999</v>
      </c>
      <c r="Z47" s="8" t="s">
        <v>27</v>
      </c>
      <c r="AA47" s="8"/>
      <c r="AB47" s="8">
        <f>49404702.87-W47+766892.67</f>
        <v>71602130.950000003</v>
      </c>
      <c r="AC47" s="8">
        <v>43356581.390000001</v>
      </c>
      <c r="AD47" s="8">
        <f>AC47-AB47</f>
        <v>-28245549.560000002</v>
      </c>
      <c r="AE47" s="10" t="s">
        <v>27</v>
      </c>
      <c r="AF47" s="10"/>
      <c r="AG47" s="8">
        <f>42734502.72-AD47+1020091.83</f>
        <v>72000144.109999999</v>
      </c>
      <c r="AH47" s="8">
        <v>40683112.57</v>
      </c>
      <c r="AI47" s="8">
        <f>AH47-AG47</f>
        <v>-31317031.539999999</v>
      </c>
      <c r="AJ47" s="9">
        <f>AC47+AH47</f>
        <v>84039693.960000008</v>
      </c>
      <c r="AK47" s="8">
        <f>Y47+AJ47</f>
        <v>284114558.52999997</v>
      </c>
      <c r="AL47" s="10" t="s">
        <v>27</v>
      </c>
      <c r="AM47" s="10"/>
      <c r="AN47" s="8">
        <f>42791029.95-AI47+1637213.91</f>
        <v>75745275.400000006</v>
      </c>
      <c r="AO47" s="8">
        <v>43605589.479999997</v>
      </c>
      <c r="AP47" s="8">
        <f>AO47-AN47</f>
        <v>-32139685.920000009</v>
      </c>
      <c r="AQ47" s="8" t="s">
        <v>27</v>
      </c>
      <c r="AR47" s="8"/>
      <c r="AS47" s="8">
        <f>43469355.38-AP47+12989490</f>
        <v>88598531.300000012</v>
      </c>
      <c r="AT47" s="8">
        <v>38202783.119999997</v>
      </c>
      <c r="AU47" s="8">
        <f>AT47-AS47</f>
        <v>-50395748.180000015</v>
      </c>
      <c r="AV47" s="9">
        <f>AO47+AT47</f>
        <v>81808372.599999994</v>
      </c>
      <c r="AW47" s="10">
        <f>AK47+AV47</f>
        <v>365922931.13</v>
      </c>
      <c r="AX47" s="10"/>
      <c r="AY47" s="10"/>
      <c r="AZ47" s="8">
        <f>42225758.75-AU47</f>
        <v>92621506.930000007</v>
      </c>
      <c r="BA47" s="8"/>
      <c r="BB47" s="8">
        <f>BA47-AZ47</f>
        <v>-92621506.930000007</v>
      </c>
      <c r="BC47" s="8" t="s">
        <v>27</v>
      </c>
      <c r="BD47" s="8"/>
      <c r="BE47" s="8">
        <v>40586472.159999996</v>
      </c>
      <c r="BF47" s="8"/>
      <c r="BG47" s="8">
        <f>BF47-BE47</f>
        <v>-40586472.159999996</v>
      </c>
      <c r="BH47" s="9">
        <f>AZ47+BE47</f>
        <v>133207979.09</v>
      </c>
      <c r="BI47" s="10">
        <f>AW47+BH47</f>
        <v>499130910.22000003</v>
      </c>
      <c r="BJ47" s="10" t="s">
        <v>27</v>
      </c>
      <c r="BK47" s="10"/>
      <c r="BL47" s="8">
        <v>38212333.119999997</v>
      </c>
      <c r="BM47" s="8"/>
      <c r="BN47" s="10">
        <f>BL47</f>
        <v>38212333.119999997</v>
      </c>
      <c r="BO47" s="10"/>
      <c r="BP47" s="10" t="s">
        <v>27</v>
      </c>
      <c r="BQ47" s="8">
        <v>56470592.990000002</v>
      </c>
      <c r="BR47" s="8"/>
      <c r="BS47" s="10">
        <f>BQ47</f>
        <v>56470592.990000002</v>
      </c>
      <c r="BT47" s="9">
        <f>SUM(M47+X47+AJ47+AV47+BH47+BL47+BQ47)</f>
        <v>593813836.33000004</v>
      </c>
      <c r="BU47" s="26">
        <f>F47+K47+Q47+V47+AC47+AH47+AO47+AT47+BA47+BF47+BM47+BR47</f>
        <v>365922931.13000005</v>
      </c>
      <c r="BV47" s="23">
        <f>BT47-BU47</f>
        <v>227890905.19999999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565271200</v>
      </c>
      <c r="C48" s="8">
        <f>C23</f>
        <v>3845000</v>
      </c>
      <c r="D48" s="8">
        <f>D23</f>
        <v>3782245.98</v>
      </c>
      <c r="E48" s="8">
        <f>E23</f>
        <v>49997092.460000001</v>
      </c>
      <c r="F48" s="8">
        <f>F23</f>
        <v>33120345.780000001</v>
      </c>
      <c r="G48" s="8">
        <f>C48-D48+E48-F48</f>
        <v>16939500.700000003</v>
      </c>
      <c r="H48" s="8">
        <f>H23</f>
        <v>3738754.02</v>
      </c>
      <c r="I48" s="8">
        <f>I23</f>
        <v>3608931.24</v>
      </c>
      <c r="J48" s="8">
        <f>J23</f>
        <v>54714406.640000001</v>
      </c>
      <c r="K48" s="8">
        <f>K23</f>
        <v>33189524.519999996</v>
      </c>
      <c r="L48" s="8">
        <f>H48-I48+J48-K48</f>
        <v>21654704.900000006</v>
      </c>
      <c r="M48" s="9">
        <f>D48+F48+I48+K48</f>
        <v>73701047.519999996</v>
      </c>
      <c r="N48" s="8">
        <f>N23</f>
        <v>3788822.78</v>
      </c>
      <c r="O48" s="8">
        <f>O23</f>
        <v>3614669.0799999996</v>
      </c>
      <c r="P48" s="8">
        <f>P23</f>
        <v>65179122.18</v>
      </c>
      <c r="Q48" s="8">
        <f>Q23</f>
        <v>39220951.68</v>
      </c>
      <c r="R48" s="8">
        <f>SUM(N48-O48,P48-Q48)</f>
        <v>26132324.199999999</v>
      </c>
      <c r="S48" s="8">
        <f>S23</f>
        <v>3698153.7</v>
      </c>
      <c r="T48" s="8">
        <f>T23</f>
        <v>3468519.1799999997</v>
      </c>
      <c r="U48" s="8">
        <f>U30+U39</f>
        <v>74457353.660000011</v>
      </c>
      <c r="V48" s="8">
        <f>V23</f>
        <v>37480042.119999997</v>
      </c>
      <c r="W48" s="8">
        <f>SUM(S48-T48,U48-V48)</f>
        <v>37206946.060000017</v>
      </c>
      <c r="X48" s="9">
        <f>O48+Q48+T48+V48</f>
        <v>83784182.060000002</v>
      </c>
      <c r="Y48" s="8">
        <f>M48+X48</f>
        <v>157485229.57999998</v>
      </c>
      <c r="Z48" s="8">
        <f>Z23</f>
        <v>3303634.52</v>
      </c>
      <c r="AA48" s="8">
        <f>AA23</f>
        <v>3017059.23</v>
      </c>
      <c r="AB48" s="8">
        <f>AB23-AB24</f>
        <v>85206686.580000028</v>
      </c>
      <c r="AC48" s="8">
        <f>AC23</f>
        <v>39093176.18</v>
      </c>
      <c r="AD48" s="8">
        <f>Z48-AA48+AB48-AC48</f>
        <v>46400085.690000035</v>
      </c>
      <c r="AE48" s="8">
        <f>AE23</f>
        <v>3315575.29</v>
      </c>
      <c r="AF48" s="8">
        <f>AF23</f>
        <v>3019745.2600000002</v>
      </c>
      <c r="AG48" s="8">
        <f>AG23</f>
        <v>90816989.859999985</v>
      </c>
      <c r="AH48" s="8">
        <f>AH23</f>
        <v>42732480.180000007</v>
      </c>
      <c r="AI48" s="8">
        <f>AE48-AF48+AG48-AH48</f>
        <v>48380339.709999979</v>
      </c>
      <c r="AJ48" s="9">
        <f>AA48+AC48+AF48+AH48</f>
        <v>87862460.849999994</v>
      </c>
      <c r="AK48" s="8">
        <f>Y48+AJ48</f>
        <v>245347690.42999998</v>
      </c>
      <c r="AL48" s="8">
        <f>AL23</f>
        <v>3119830.03</v>
      </c>
      <c r="AM48" s="8">
        <f>AM23</f>
        <v>2793031.59</v>
      </c>
      <c r="AN48" s="8">
        <f>AN23</f>
        <v>95432294.090000004</v>
      </c>
      <c r="AO48" s="8">
        <f>AO23</f>
        <v>40933645.670000002</v>
      </c>
      <c r="AP48" s="8">
        <f>AL48-AM48+AN48-AO48</f>
        <v>54825446.859999999</v>
      </c>
      <c r="AQ48" s="8">
        <f>AQ23</f>
        <v>3250798.4399999995</v>
      </c>
      <c r="AR48" s="8">
        <f>AR23</f>
        <v>2829095.44</v>
      </c>
      <c r="AS48" s="8">
        <f>AS23</f>
        <v>113098664.54999998</v>
      </c>
      <c r="AT48" s="8">
        <f>AT23</f>
        <v>41709077.160000004</v>
      </c>
      <c r="AU48" s="8">
        <f>AQ48-AR48+AS48-AT48</f>
        <v>71811290.389999986</v>
      </c>
      <c r="AV48" s="9">
        <f>AM48+AO48+AR48+AT48</f>
        <v>88264849.860000014</v>
      </c>
      <c r="AW48" s="8">
        <f>AK48+AV48</f>
        <v>333612540.28999996</v>
      </c>
      <c r="AX48" s="8">
        <f>AX23</f>
        <v>3245702.9999999995</v>
      </c>
      <c r="AY48" s="8">
        <f>AY23</f>
        <v>0</v>
      </c>
      <c r="AZ48" s="8">
        <f>AZ23</f>
        <v>111730708.84999999</v>
      </c>
      <c r="BA48" s="8">
        <f>BA23</f>
        <v>0</v>
      </c>
      <c r="BB48" s="8">
        <f>AX48-AY48+AZ48-BA48</f>
        <v>114976411.84999999</v>
      </c>
      <c r="BC48" s="8">
        <f>BC23</f>
        <v>2824000</v>
      </c>
      <c r="BD48" s="8">
        <f>BD23</f>
        <v>0</v>
      </c>
      <c r="BE48" s="8">
        <f>BE23</f>
        <v>41367654.770000003</v>
      </c>
      <c r="BF48" s="8">
        <f>BF23</f>
        <v>0</v>
      </c>
      <c r="BG48" s="8">
        <f>BC48-BD48+BE48-BF48</f>
        <v>44191654.770000003</v>
      </c>
      <c r="BH48" s="9">
        <f>AX48+AZ48+BC48+BE48</f>
        <v>159168066.62</v>
      </c>
      <c r="BI48" s="8">
        <f>AW48+BH48</f>
        <v>492780606.90999997</v>
      </c>
      <c r="BJ48" s="8">
        <f>BJ23</f>
        <v>2489000</v>
      </c>
      <c r="BK48" s="8" t="e">
        <f>#REF!</f>
        <v>#REF!</v>
      </c>
      <c r="BL48" s="8">
        <f>BL23</f>
        <v>50001420.450000003</v>
      </c>
      <c r="BM48" s="8" t="e">
        <f>#REF!</f>
        <v>#REF!</v>
      </c>
      <c r="BN48" s="8" t="e">
        <f>BJ48-BK48+BL48-BM48</f>
        <v>#REF!</v>
      </c>
      <c r="BO48" s="8">
        <f>BO23</f>
        <v>2512200</v>
      </c>
      <c r="BP48" s="8" t="e">
        <f>#REF!</f>
        <v>#REF!</v>
      </c>
      <c r="BQ48" s="8">
        <f>BQ23</f>
        <v>55415112.660000011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603198340.01999998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26372627.509999998</v>
      </c>
      <c r="F49" s="8">
        <f>F47-D48-F48</f>
        <v>36484852.920000002</v>
      </c>
      <c r="G49" s="8"/>
      <c r="H49" s="8"/>
      <c r="I49" s="8"/>
      <c r="J49" s="8">
        <f>J47-H48-J48</f>
        <v>-11760507.680000007</v>
      </c>
      <c r="K49" s="8">
        <f>K47-I48-K48</f>
        <v>4650923.4600000009</v>
      </c>
      <c r="L49" s="8"/>
      <c r="M49" s="9">
        <f>M47-M48</f>
        <v>41135776.38000001</v>
      </c>
      <c r="N49" s="8"/>
      <c r="O49" s="8"/>
      <c r="P49" s="8">
        <f>P47-N48-P48</f>
        <v>-18676574.840000004</v>
      </c>
      <c r="Q49" s="8">
        <f>Q47-O48-Q48</f>
        <v>-4808425.9899999946</v>
      </c>
      <c r="R49" s="8"/>
      <c r="S49" s="8"/>
      <c r="T49" s="8"/>
      <c r="U49" s="8">
        <f>U47-S48-U48</f>
        <v>-9514126.0500000119</v>
      </c>
      <c r="V49" s="8">
        <f>V47-T48-V48</f>
        <v>6262284.6000000015</v>
      </c>
      <c r="W49" s="8"/>
      <c r="X49" s="9">
        <f>X47-X48</f>
        <v>1453858.6099999994</v>
      </c>
      <c r="Y49" s="8"/>
      <c r="Z49" s="8"/>
      <c r="AA49" s="8"/>
      <c r="AB49" s="8">
        <f>AB47-Z48-AB48</f>
        <v>-16908190.150000021</v>
      </c>
      <c r="AC49" s="8">
        <f>AC47-AA48-AC48</f>
        <v>1246345.9800000042</v>
      </c>
      <c r="AD49" s="8"/>
      <c r="AE49" s="8"/>
      <c r="AF49" s="8"/>
      <c r="AG49" s="8">
        <f>AG47-AE48-AG48</f>
        <v>-22132421.039999992</v>
      </c>
      <c r="AH49" s="8">
        <f>AC50</f>
        <v>78527971.440000013</v>
      </c>
      <c r="AI49" s="8"/>
      <c r="AJ49" s="9">
        <f>AJ47-AJ48</f>
        <v>-3822766.8899999857</v>
      </c>
      <c r="AK49" s="8"/>
      <c r="AL49" s="8"/>
      <c r="AM49" s="8"/>
      <c r="AN49" s="8">
        <f>AN47-AL48-AN48</f>
        <v>-22806848.719999999</v>
      </c>
      <c r="AO49" s="8">
        <f>AO47-AM48-AO48</f>
        <v>-121087.78000000119</v>
      </c>
      <c r="AP49" s="8"/>
      <c r="AQ49" s="8"/>
      <c r="AR49" s="8"/>
      <c r="AS49" s="8">
        <f>AS47-AQ48-AS48</f>
        <v>-27750931.689999968</v>
      </c>
      <c r="AT49" s="8">
        <f>AT47-AR48-AT48</f>
        <v>-6335389.4800000042</v>
      </c>
      <c r="AU49" s="8"/>
      <c r="AV49" s="9">
        <f>AV47-AV48</f>
        <v>-6456477.2600000203</v>
      </c>
      <c r="AW49" s="8"/>
      <c r="AX49" s="8"/>
      <c r="AY49" s="8"/>
      <c r="AZ49" s="8">
        <f>AZ47-AX48-AZ48</f>
        <v>-22354904.919999987</v>
      </c>
      <c r="BA49" s="8">
        <f>AT50</f>
        <v>67002381.310000002</v>
      </c>
      <c r="BB49" s="8"/>
      <c r="BC49" s="8"/>
      <c r="BD49" s="8"/>
      <c r="BE49" s="8">
        <f>BE47-BC48-BE48</f>
        <v>-3605182.6100000069</v>
      </c>
      <c r="BF49" s="8">
        <f>BA50</f>
        <v>67002381.310000002</v>
      </c>
      <c r="BG49" s="8"/>
      <c r="BH49" s="9">
        <f>BH47-BH48</f>
        <v>-25960087.530000001</v>
      </c>
      <c r="BI49" s="8"/>
      <c r="BJ49" s="8"/>
      <c r="BK49" s="8"/>
      <c r="BL49" s="8">
        <f>BL47-BJ48-BL48</f>
        <v>-14278087.330000006</v>
      </c>
      <c r="BM49" s="8">
        <f>BF50</f>
        <v>67002381.310000002</v>
      </c>
      <c r="BN49" s="8"/>
      <c r="BO49" s="8"/>
      <c r="BP49" s="8"/>
      <c r="BQ49" s="8">
        <f>BQ47-BO48-BQ48</f>
        <v>-1456719.6700000092</v>
      </c>
      <c r="BR49" s="8"/>
      <c r="BS49" s="8"/>
      <c r="BT49" s="9">
        <f>BT47-BT48</f>
        <v>-9384503.689999938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v>34691990.469999999</v>
      </c>
      <c r="C50" s="9"/>
      <c r="D50" s="9"/>
      <c r="E50" s="8">
        <f>E49+B51</f>
        <v>61064617.979999997</v>
      </c>
      <c r="F50" s="8">
        <f>F49+B51</f>
        <v>71176843.390000001</v>
      </c>
      <c r="G50" s="8"/>
      <c r="H50" s="8"/>
      <c r="I50" s="8"/>
      <c r="J50" s="8">
        <f>J49+F50</f>
        <v>59416335.709999993</v>
      </c>
      <c r="K50" s="8">
        <f>K49+F50</f>
        <v>75827766.849999994</v>
      </c>
      <c r="L50" s="8"/>
      <c r="M50" s="9">
        <f>M49+B51</f>
        <v>75827766.850000009</v>
      </c>
      <c r="N50" s="11"/>
      <c r="O50" s="11"/>
      <c r="P50" s="8">
        <f>P49+M50</f>
        <v>57151192.010000005</v>
      </c>
      <c r="Q50" s="8">
        <f>Q49+K50</f>
        <v>71019340.859999999</v>
      </c>
      <c r="R50" s="8"/>
      <c r="S50" s="8"/>
      <c r="T50" s="8"/>
      <c r="U50" s="8">
        <f>P50+U49</f>
        <v>47637065.959999993</v>
      </c>
      <c r="V50" s="8">
        <f>V49+Q50</f>
        <v>77281625.460000008</v>
      </c>
      <c r="W50" s="8"/>
      <c r="X50" s="9">
        <f>X49+M50</f>
        <v>77281625.460000008</v>
      </c>
      <c r="Y50" s="8" t="e">
        <f>Y47+Y51+Y48+#REF!</f>
        <v>#REF!</v>
      </c>
      <c r="Z50" s="8"/>
      <c r="AA50" s="8"/>
      <c r="AB50" s="8">
        <f>AB49+V50</f>
        <v>60373435.309999987</v>
      </c>
      <c r="AC50" s="8">
        <f>AC49+V50</f>
        <v>78527971.440000013</v>
      </c>
      <c r="AD50" s="8"/>
      <c r="AE50" s="8"/>
      <c r="AF50" s="8"/>
      <c r="AG50" s="8">
        <f>AG49+AB50</f>
        <v>38241014.269999996</v>
      </c>
      <c r="AH50" s="8">
        <f>AH47-AF48-AH48+AH49</f>
        <v>73458858.570000008</v>
      </c>
      <c r="AI50" s="8"/>
      <c r="AJ50" s="9">
        <f>X50+AJ49</f>
        <v>73458858.570000023</v>
      </c>
      <c r="AK50" s="8" t="e">
        <f>AK47+AK51+AK48+#REF!-#REF!-#REF!-#REF!-#REF!</f>
        <v>#REF!</v>
      </c>
      <c r="AL50" s="8"/>
      <c r="AM50" s="8"/>
      <c r="AN50" s="8">
        <f>AN49+AG50</f>
        <v>15434165.549999997</v>
      </c>
      <c r="AO50" s="8">
        <f>AO49+AH50</f>
        <v>73337770.790000007</v>
      </c>
      <c r="AP50" s="8"/>
      <c r="AQ50" s="8"/>
      <c r="AR50" s="8"/>
      <c r="AS50" s="8">
        <f>AS49+AN50</f>
        <v>-12316766.139999971</v>
      </c>
      <c r="AT50" s="8">
        <f>AT49+AO50</f>
        <v>67002381.310000002</v>
      </c>
      <c r="AU50" s="8"/>
      <c r="AV50" s="9">
        <f>AV49+AJ50</f>
        <v>67002381.310000002</v>
      </c>
      <c r="AW50" s="8" t="e">
        <f>AW47+AW51+AW48+#REF!-#REF!-#REF!-#REF!-#REF!</f>
        <v>#REF!</v>
      </c>
      <c r="AX50" s="8"/>
      <c r="AY50" s="8"/>
      <c r="AZ50" s="8">
        <f>AZ49+AS50</f>
        <v>-34671671.059999958</v>
      </c>
      <c r="BA50" s="8">
        <f>BA47+BA51-AY48-BA48+BA49</f>
        <v>67002381.310000002</v>
      </c>
      <c r="BB50" s="8"/>
      <c r="BC50" s="8" t="s">
        <v>27</v>
      </c>
      <c r="BD50" s="8" t="s">
        <v>27</v>
      </c>
      <c r="BE50" s="8">
        <f>BE49+AZ50</f>
        <v>-38276853.669999965</v>
      </c>
      <c r="BF50" s="8">
        <f>BF47+BF51-BD48-BF48+BF49</f>
        <v>67002381.310000002</v>
      </c>
      <c r="BG50" s="8"/>
      <c r="BH50" s="9">
        <f>BH49+AV50</f>
        <v>41042293.780000001</v>
      </c>
      <c r="BI50" s="8" t="e">
        <f>BI47+BI51+BI48+#REF!-#REF!-#REF!-#REF!-#REF!</f>
        <v>#REF!</v>
      </c>
      <c r="BJ50" s="8"/>
      <c r="BK50" s="8"/>
      <c r="BL50" s="8">
        <f>BL49+BE50</f>
        <v>-52554940.99999997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-54011660.669999979</v>
      </c>
      <c r="BR50" s="8" t="e">
        <f>BR47-SUM(BR48:BR49)</f>
        <v>#REF!</v>
      </c>
      <c r="BS50" s="8" t="e">
        <f>BS47-SUM(BS48:BS49)</f>
        <v>#REF!</v>
      </c>
      <c r="BT50" s="9">
        <f>BT51+BT49</f>
        <v>25307486.780000061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f>B50</f>
        <v>34691990.469999999</v>
      </c>
      <c r="C51" s="43"/>
      <c r="D51" s="43"/>
      <c r="E51" s="43">
        <f>B51</f>
        <v>34691990.469999999</v>
      </c>
      <c r="F51" s="43">
        <v>5180806.38</v>
      </c>
      <c r="G51" s="43">
        <f>E51-F51</f>
        <v>29511184.09</v>
      </c>
      <c r="H51" s="43"/>
      <c r="I51" s="43"/>
      <c r="J51" s="43">
        <f>G51</f>
        <v>29511184.09</v>
      </c>
      <c r="K51" s="43">
        <v>419159.49</v>
      </c>
      <c r="L51" s="43">
        <f>G51-K51</f>
        <v>29092024.600000001</v>
      </c>
      <c r="M51" s="43">
        <f>F51+K51</f>
        <v>5599965.8700000001</v>
      </c>
      <c r="N51" s="49"/>
      <c r="O51" s="49"/>
      <c r="P51" s="43">
        <f>L51</f>
        <v>29092024.600000001</v>
      </c>
      <c r="Q51" s="43">
        <v>844084.57</v>
      </c>
      <c r="R51" s="43">
        <f>L51-Q51</f>
        <v>28247940.030000001</v>
      </c>
      <c r="S51" s="43"/>
      <c r="T51" s="43"/>
      <c r="U51" s="43">
        <f>R51</f>
        <v>28247940.030000001</v>
      </c>
      <c r="V51" s="43">
        <v>423645.28</v>
      </c>
      <c r="W51" s="43">
        <f>U51-V51</f>
        <v>27824294.75</v>
      </c>
      <c r="X51" s="43">
        <f>Q51+V51</f>
        <v>1267729.8500000001</v>
      </c>
      <c r="Y51" s="45">
        <f>X51</f>
        <v>1267729.8500000001</v>
      </c>
      <c r="Z51" s="43"/>
      <c r="AA51" s="43"/>
      <c r="AB51" s="43">
        <f>W51</f>
        <v>27824294.75</v>
      </c>
      <c r="AC51" s="43">
        <v>544727.21</v>
      </c>
      <c r="AD51" s="43">
        <f>W51-AC51</f>
        <v>27279567.539999999</v>
      </c>
      <c r="AE51" s="43"/>
      <c r="AF51" s="43"/>
      <c r="AG51" s="43">
        <f>AD51</f>
        <v>27279567.539999999</v>
      </c>
      <c r="AH51" s="43">
        <v>1062000</v>
      </c>
      <c r="AI51" s="43">
        <f>AG51-AH51</f>
        <v>26217567.539999999</v>
      </c>
      <c r="AJ51" s="43">
        <f>AC51+AH51</f>
        <v>1606727.21</v>
      </c>
      <c r="AK51" s="43">
        <f>Y51+AJ51</f>
        <v>2874457.06</v>
      </c>
      <c r="AL51" s="43"/>
      <c r="AM51" s="43"/>
      <c r="AN51" s="43">
        <f>AI51</f>
        <v>26217567.539999999</v>
      </c>
      <c r="AO51" s="43">
        <v>606816.62</v>
      </c>
      <c r="AP51" s="43">
        <f>AN51-AO51</f>
        <v>25610750.919999998</v>
      </c>
      <c r="AQ51" s="43"/>
      <c r="AR51" s="43"/>
      <c r="AS51" s="43">
        <f>AP51</f>
        <v>25610750.919999998</v>
      </c>
      <c r="AT51" s="43">
        <v>303264.14</v>
      </c>
      <c r="AU51" s="43">
        <f>AS51-AT51</f>
        <v>25307486.779999997</v>
      </c>
      <c r="AV51" s="43">
        <f>AO51+AT51</f>
        <v>910080.76</v>
      </c>
      <c r="AW51" s="43">
        <f>AK51+AV51</f>
        <v>3784537.8200000003</v>
      </c>
      <c r="AX51" s="43"/>
      <c r="AY51" s="43"/>
      <c r="AZ51" s="43">
        <f>AU51</f>
        <v>25307486.779999997</v>
      </c>
      <c r="BA51" s="43"/>
      <c r="BB51" s="43">
        <f>AU51-BA51</f>
        <v>25307486.779999997</v>
      </c>
      <c r="BC51" s="43"/>
      <c r="BD51" s="43"/>
      <c r="BE51" s="43">
        <f>BB51</f>
        <v>25307486.779999997</v>
      </c>
      <c r="BF51" s="43"/>
      <c r="BG51" s="43">
        <f>BE51-BF51</f>
        <v>25307486.779999997</v>
      </c>
      <c r="BH51" s="43">
        <f>BA51+BF51</f>
        <v>0</v>
      </c>
      <c r="BI51" s="43">
        <f>AW51+BH51</f>
        <v>3784537.8200000003</v>
      </c>
      <c r="BJ51" s="43"/>
      <c r="BK51" s="43"/>
      <c r="BL51" s="43">
        <f>BG51</f>
        <v>25307486.779999997</v>
      </c>
      <c r="BM51" s="43"/>
      <c r="BN51" s="43"/>
      <c r="BO51" s="43"/>
      <c r="BP51" s="43"/>
      <c r="BQ51" s="43"/>
      <c r="BR51" s="43"/>
      <c r="BS51" s="43"/>
      <c r="BT51" s="43">
        <f>B51</f>
        <v>34691990.469999999</v>
      </c>
      <c r="BU51" s="26"/>
      <c r="BV51" s="23">
        <f>BT51-BU51</f>
        <v>34691990.469999999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13" max="50" man="1"/>
    <brk id="25" max="50" man="1"/>
    <brk id="4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2018-07-18T11:46:11Z</cp:lastPrinted>
  <dcterms:created xsi:type="dcterms:W3CDTF">2007-05-23T16:50:29Z</dcterms:created>
  <dcterms:modified xsi:type="dcterms:W3CDTF">2018-10-09T15:03:27Z</dcterms:modified>
</cp:coreProperties>
</file>