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<sst xmlns="http://schemas.openxmlformats.org/spreadsheetml/2006/main" count="90" uniqueCount="43">
  <si>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</si>
  <si>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</si>
  <si>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</si>
  <si>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</si>
  <si>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</si>
  <si>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</si>
  <si>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</si>
  <si>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</si>
  <si>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</si>
  <si>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</si>
  <si>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</si>
  <si>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</si>
  <si>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</si>
  <si>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</si>
  <si>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</si>
  <si>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</si>
  <si>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</si>
  <si>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</si>
  <si>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</si>
  <si>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</si>
  <si>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</si>
  <si>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</si>
  <si>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</si>
  <si>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</si>
  <si>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</si>
  <si>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</si>
  <si>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</si>
  <si>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</si>
  <si>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</si>
  <si>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</si>
  <si>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</si>
  <si>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</si>
  <si>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</si>
  <si>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</si>
  <si>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</si>
  <si>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</si>
  <si>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</si>
  <si>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</si>
  <si>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</si>
  <si>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</si>
  <si>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2019</t>
  </si>
  <si>
    <t>PROJEÇÃO PERCENTUAL DA ARRECADAÇÃO MENSAL – 2019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</si>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</sst>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4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3" t="s">
        <v>0</v>
      </c>
      <c r="B2" s="29" t="s">
        <v>40</v>
      </c>
      <c r="C2" s="30"/>
      <c r="D2" s="30"/>
      <c r="E2" s="30"/>
      <c r="F2" s="30"/>
      <c r="G2" s="30"/>
      <c r="H2" s="30"/>
      <c r="I2" s="30"/>
      <c r="J2" s="30"/>
      <c r="K2" s="29" t="s">
        <v>40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3"/>
      <c r="B3" s="5" t="s">
        <v>1</v>
      </c>
      <c r="C3" s="5" t="s">
        <v>2</v>
      </c>
      <c r="D3" s="28" t="s">
        <v>3</v>
      </c>
      <c r="E3" s="5" t="s">
        <v>4</v>
      </c>
      <c r="F3" s="5" t="s">
        <v>5</v>
      </c>
      <c r="G3" s="28" t="s">
        <v>6</v>
      </c>
      <c r="H3" s="5" t="s">
        <v>7</v>
      </c>
      <c r="I3" s="5" t="s">
        <v>8</v>
      </c>
      <c r="J3" s="28" t="s">
        <v>9</v>
      </c>
      <c r="K3" s="5" t="s">
        <v>10</v>
      </c>
      <c r="L3" s="5" t="s">
        <v>11</v>
      </c>
      <c r="M3" s="28" t="s">
        <v>12</v>
      </c>
      <c r="N3" s="5" t="s">
        <v>13</v>
      </c>
      <c r="O3" s="5" t="s">
        <v>14</v>
      </c>
      <c r="P3" s="28" t="s">
        <v>15</v>
      </c>
      <c r="Q3" s="5" t="s">
        <v>16</v>
      </c>
      <c r="R3" s="5" t="s">
        <v>17</v>
      </c>
      <c r="S3" s="28" t="s">
        <v>18</v>
      </c>
      <c r="T3" s="26" t="s">
        <v>19</v>
      </c>
      <c r="U3" s="24"/>
      <c r="V3" s="25"/>
    </row>
    <row r="4" spans="1:22" s="4" customFormat="1" ht="12.75" customHeight="1">
      <c r="A4" s="33"/>
      <c r="B4" s="6" t="s">
        <v>42</v>
      </c>
      <c r="C4" s="6" t="s">
        <v>42</v>
      </c>
      <c r="D4" s="28"/>
      <c r="E4" s="6" t="s">
        <v>42</v>
      </c>
      <c r="F4" s="6" t="s">
        <v>42</v>
      </c>
      <c r="G4" s="28"/>
      <c r="H4" s="6" t="s">
        <v>20</v>
      </c>
      <c r="I4" s="6" t="s">
        <v>20</v>
      </c>
      <c r="J4" s="28"/>
      <c r="K4" s="6" t="s">
        <v>20</v>
      </c>
      <c r="L4" s="6" t="s">
        <v>20</v>
      </c>
      <c r="M4" s="28"/>
      <c r="N4" s="6" t="s">
        <v>20</v>
      </c>
      <c r="O4" s="6" t="s">
        <v>20</v>
      </c>
      <c r="P4" s="28"/>
      <c r="Q4" s="6" t="s">
        <v>20</v>
      </c>
      <c r="R4" s="6" t="s">
        <v>20</v>
      </c>
      <c r="S4" s="28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65923991.690000005</v>
      </c>
      <c r="C5" s="8">
        <f t="shared" si="0"/>
        <v>57488378.510000005</v>
      </c>
      <c r="D5" s="9">
        <f t="shared" si="0"/>
        <v>123412370.2</v>
      </c>
      <c r="E5" s="8">
        <f t="shared" si="0"/>
        <v>44733477.519999996</v>
      </c>
      <c r="F5" s="8">
        <f t="shared" si="0"/>
        <v>57266151.79</v>
      </c>
      <c r="G5" s="10">
        <f t="shared" si="0"/>
        <v>101999629.31</v>
      </c>
      <c r="H5" s="8">
        <f t="shared" si="0"/>
        <v>46869603.519999996</v>
      </c>
      <c r="I5" s="8">
        <f t="shared" si="0"/>
        <v>43193567.88</v>
      </c>
      <c r="J5" s="10">
        <f t="shared" si="0"/>
        <v>90063171.4</v>
      </c>
      <c r="K5" s="8">
        <f t="shared" si="0"/>
        <v>46537186.14</v>
      </c>
      <c r="L5" s="8">
        <f t="shared" si="0"/>
        <v>40516607.12</v>
      </c>
      <c r="M5" s="10">
        <f t="shared" si="0"/>
        <v>87053793.26</v>
      </c>
      <c r="N5" s="8">
        <f t="shared" si="0"/>
        <v>38187256.12</v>
      </c>
      <c r="O5" s="8">
        <f t="shared" si="0"/>
        <v>43296878.51</v>
      </c>
      <c r="P5" s="10">
        <f t="shared" si="0"/>
        <v>81484134.63</v>
      </c>
      <c r="Q5" s="8">
        <f t="shared" si="0"/>
        <v>58955124.199999996</v>
      </c>
      <c r="R5" s="8">
        <f t="shared" si="0"/>
        <v>72800572.29</v>
      </c>
      <c r="S5" s="10">
        <f t="shared" si="0"/>
        <v>131755696.49000001</v>
      </c>
      <c r="T5" s="8">
        <f>SUM(T6+T7+T8+T9+T10+T11+T12)</f>
        <v>615768795.29</v>
      </c>
      <c r="U5" s="8">
        <f>SUM(U6:U12)</f>
        <v>1099781894.09</v>
      </c>
      <c r="V5" s="11">
        <f aca="true" t="shared" si="1" ref="V5:V20">U5-T5</f>
        <v>484013098.79999995</v>
      </c>
    </row>
    <row r="6" spans="1:22" s="1" customFormat="1" ht="24.75" customHeight="1">
      <c r="A6" s="27" t="s">
        <v>39</v>
      </c>
      <c r="B6" s="13">
        <f>27819687.72-51972.71</f>
        <v>27767715.009999998</v>
      </c>
      <c r="C6" s="13">
        <f>26888356.43-66243.32-300.02</f>
        <v>26821813.09</v>
      </c>
      <c r="D6" s="9">
        <f aca="true" t="shared" si="2" ref="D6:D12">SUM(B6:C6)</f>
        <v>54589528.099999994</v>
      </c>
      <c r="E6" s="13">
        <f>13285562.78-60347.42-253.28</f>
        <v>13224962.08</v>
      </c>
      <c r="F6" s="13">
        <f>15505386.44-6315.16</f>
        <v>15499071.28</v>
      </c>
      <c r="G6" s="9">
        <f aca="true" t="shared" si="3" ref="G6:G12">SUM(E6:F6)</f>
        <v>28724033.36</v>
      </c>
      <c r="H6" s="13">
        <v>16019604.89</v>
      </c>
      <c r="I6" s="13">
        <v>14763169.27</v>
      </c>
      <c r="J6" s="9">
        <f aca="true" t="shared" si="4" ref="J6:J12">SUM(H6:I6)</f>
        <v>30782774.16</v>
      </c>
      <c r="K6" s="13">
        <v>15905987.67</v>
      </c>
      <c r="L6" s="13">
        <v>13848208.36</v>
      </c>
      <c r="M6" s="9">
        <f aca="true" t="shared" si="5" ref="M6:M12">SUM(K6:L6)</f>
        <v>29754196.03</v>
      </c>
      <c r="N6" s="13">
        <v>13052057.4</v>
      </c>
      <c r="O6" s="13">
        <v>14798479.93</v>
      </c>
      <c r="P6" s="9">
        <f aca="true" t="shared" si="6" ref="P6:P12">SUM(N6:O6)</f>
        <v>27850537.33</v>
      </c>
      <c r="Q6" s="13">
        <v>20150326.13</v>
      </c>
      <c r="R6" s="13">
        <v>24882574.57</v>
      </c>
      <c r="S6" s="9">
        <f aca="true" t="shared" si="7" ref="S6:S11">SUM(Q6:R6)</f>
        <v>45032900.7</v>
      </c>
      <c r="T6" s="12">
        <f aca="true" t="shared" si="8" ref="T6:T12">D6+G6+J6+M6+P6+S6</f>
        <v>216733969.67999995</v>
      </c>
      <c r="U6" s="12">
        <f aca="true" t="shared" si="9" ref="U6:U20">SUM(B6:R6)</f>
        <v>388435038.6599999</v>
      </c>
      <c r="V6" s="14">
        <f t="shared" si="1"/>
        <v>171701068.97999996</v>
      </c>
    </row>
    <row r="7" spans="1:22" s="1" customFormat="1" ht="12.75" customHeight="1">
      <c r="A7" s="27" t="s">
        <v>24</v>
      </c>
      <c r="B7" s="13">
        <v>797529.68</v>
      </c>
      <c r="C7" s="13">
        <v>782668.52</v>
      </c>
      <c r="D7" s="9">
        <f t="shared" si="2"/>
        <v>1580198.2000000002</v>
      </c>
      <c r="E7" s="13">
        <f>724717.27-6.82</f>
        <v>724710.4500000001</v>
      </c>
      <c r="F7" s="13">
        <v>746375.86</v>
      </c>
      <c r="G7" s="9">
        <f t="shared" si="3"/>
        <v>1471086.31</v>
      </c>
      <c r="H7" s="13">
        <v>678468.63</v>
      </c>
      <c r="I7" s="13">
        <v>625255.58</v>
      </c>
      <c r="J7" s="9">
        <f t="shared" si="4"/>
        <v>1303724.21</v>
      </c>
      <c r="K7" s="13">
        <v>673656.67</v>
      </c>
      <c r="L7" s="13">
        <v>586504.79</v>
      </c>
      <c r="M7" s="9">
        <f t="shared" si="5"/>
        <v>1260161.46</v>
      </c>
      <c r="N7" s="13">
        <v>552785.89</v>
      </c>
      <c r="O7" s="13">
        <v>626751.06</v>
      </c>
      <c r="P7" s="9">
        <f t="shared" si="6"/>
        <v>1179536.9500000002</v>
      </c>
      <c r="Q7" s="13">
        <v>853414.57</v>
      </c>
      <c r="R7" s="13">
        <v>1053836.61</v>
      </c>
      <c r="S7" s="9">
        <f t="shared" si="7"/>
        <v>1907251.1800000002</v>
      </c>
      <c r="T7" s="12">
        <f t="shared" si="8"/>
        <v>8701958.31</v>
      </c>
      <c r="U7" s="12">
        <f t="shared" si="9"/>
        <v>15496665.440000005</v>
      </c>
      <c r="V7" s="14">
        <f t="shared" si="1"/>
        <v>6794707.130000005</v>
      </c>
    </row>
    <row r="8" spans="1:22" s="1" customFormat="1" ht="12.75" customHeight="1">
      <c r="A8" s="12" t="s">
        <v>25</v>
      </c>
      <c r="B8" s="13">
        <f>715430.89-260.05</f>
        <v>715170.84</v>
      </c>
      <c r="C8" s="13">
        <f>611636.03-1021.45</f>
        <v>610614.5800000001</v>
      </c>
      <c r="D8" s="9">
        <f t="shared" si="2"/>
        <v>1325785.42</v>
      </c>
      <c r="E8" s="13">
        <f>722466.45-11708.18</f>
        <v>710758.2699999999</v>
      </c>
      <c r="F8" s="13">
        <f>762527.58-2100.36-309.88</f>
        <v>760117.34</v>
      </c>
      <c r="G8" s="9">
        <f t="shared" si="3"/>
        <v>1470875.6099999999</v>
      </c>
      <c r="H8" s="13">
        <v>540505.7</v>
      </c>
      <c r="I8" s="13">
        <v>498113.19</v>
      </c>
      <c r="J8" s="9">
        <f t="shared" si="4"/>
        <v>1038618.8899999999</v>
      </c>
      <c r="K8" s="13">
        <v>536672.18</v>
      </c>
      <c r="L8" s="13">
        <v>467242.23</v>
      </c>
      <c r="M8" s="9">
        <f t="shared" si="5"/>
        <v>1003914.41</v>
      </c>
      <c r="N8" s="13">
        <v>440379.83</v>
      </c>
      <c r="O8" s="13">
        <v>499304.61</v>
      </c>
      <c r="P8" s="9">
        <f t="shared" si="6"/>
        <v>939684.44</v>
      </c>
      <c r="Q8" s="13">
        <v>679877.24</v>
      </c>
      <c r="R8" s="13">
        <v>839544.62</v>
      </c>
      <c r="S8" s="9">
        <f t="shared" si="7"/>
        <v>1519421.8599999999</v>
      </c>
      <c r="T8" s="12">
        <f t="shared" si="8"/>
        <v>7298300.629999999</v>
      </c>
      <c r="U8" s="12">
        <f t="shared" si="9"/>
        <v>13077179.399999999</v>
      </c>
      <c r="V8" s="14">
        <f t="shared" si="1"/>
        <v>5778878.77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2"/>
        <v>0</v>
      </c>
      <c r="E9" s="13"/>
      <c r="F9" s="13"/>
      <c r="G9" s="9">
        <f t="shared" si="3"/>
        <v>0</v>
      </c>
      <c r="H9" s="13"/>
      <c r="I9" s="13"/>
      <c r="J9" s="9">
        <f t="shared" si="4"/>
        <v>0</v>
      </c>
      <c r="K9" s="13"/>
      <c r="L9" s="13"/>
      <c r="M9" s="9">
        <f t="shared" si="5"/>
        <v>0</v>
      </c>
      <c r="N9" s="13"/>
      <c r="O9" s="13"/>
      <c r="P9" s="9">
        <f t="shared" si="6"/>
        <v>0</v>
      </c>
      <c r="Q9" s="13"/>
      <c r="R9" s="13"/>
      <c r="S9" s="9">
        <f t="shared" si="7"/>
        <v>0</v>
      </c>
      <c r="T9" s="12">
        <f t="shared" si="8"/>
        <v>0</v>
      </c>
      <c r="U9" s="12">
        <f t="shared" si="9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/>
      <c r="C10" s="13">
        <v>113.17</v>
      </c>
      <c r="D10" s="9">
        <f t="shared" si="2"/>
        <v>113.17</v>
      </c>
      <c r="E10" s="13">
        <v>54.42</v>
      </c>
      <c r="F10" s="13">
        <v>54.25</v>
      </c>
      <c r="G10" s="9">
        <f t="shared" si="3"/>
        <v>108.67</v>
      </c>
      <c r="H10" s="13"/>
      <c r="I10" s="13"/>
      <c r="J10" s="9">
        <f t="shared" si="4"/>
        <v>0</v>
      </c>
      <c r="K10" s="13"/>
      <c r="L10" s="13"/>
      <c r="M10" s="9">
        <f t="shared" si="5"/>
        <v>0</v>
      </c>
      <c r="N10" s="13"/>
      <c r="O10" s="13"/>
      <c r="P10" s="9">
        <f t="shared" si="6"/>
        <v>0</v>
      </c>
      <c r="Q10" s="13"/>
      <c r="R10" s="13"/>
      <c r="S10" s="9">
        <f>SUM(Q10:R10)</f>
        <v>0</v>
      </c>
      <c r="T10" s="12">
        <f>D10+G10+J10+M10+P10+S10</f>
        <v>221.84</v>
      </c>
      <c r="U10" s="12">
        <f t="shared" si="9"/>
        <v>443.68</v>
      </c>
      <c r="V10" s="14">
        <f t="shared" si="1"/>
        <v>221.84</v>
      </c>
    </row>
    <row r="11" spans="1:22" s="1" customFormat="1" ht="12.75" customHeight="1">
      <c r="A11" s="12" t="s">
        <v>28</v>
      </c>
      <c r="B11" s="13">
        <v>36297433.7</v>
      </c>
      <c r="C11" s="13">
        <v>28932251.76</v>
      </c>
      <c r="D11" s="9">
        <f t="shared" si="2"/>
        <v>65229685.46000001</v>
      </c>
      <c r="E11" s="13">
        <v>29680675.77</v>
      </c>
      <c r="F11" s="13">
        <v>39595791.79</v>
      </c>
      <c r="G11" s="9">
        <f t="shared" si="3"/>
        <v>69276467.56</v>
      </c>
      <c r="H11" s="13">
        <v>29302210.33</v>
      </c>
      <c r="I11" s="13">
        <v>27004005.13</v>
      </c>
      <c r="J11" s="9">
        <f t="shared" si="4"/>
        <v>56306215.45999999</v>
      </c>
      <c r="K11" s="13">
        <v>29094387.73</v>
      </c>
      <c r="L11" s="13">
        <v>25330407.26</v>
      </c>
      <c r="M11" s="9">
        <f t="shared" si="5"/>
        <v>54424794.99</v>
      </c>
      <c r="N11" s="13">
        <v>23874130.1</v>
      </c>
      <c r="O11" s="13">
        <v>27068593.45</v>
      </c>
      <c r="P11" s="9">
        <f t="shared" si="6"/>
        <v>50942723.55</v>
      </c>
      <c r="Q11" s="13">
        <v>36857906.26</v>
      </c>
      <c r="R11" s="13">
        <v>45513883.68</v>
      </c>
      <c r="S11" s="9">
        <f t="shared" si="7"/>
        <v>82371789.94</v>
      </c>
      <c r="T11" s="12">
        <f t="shared" si="8"/>
        <v>378551676.96000004</v>
      </c>
      <c r="U11" s="12">
        <f t="shared" si="9"/>
        <v>674731563.9799999</v>
      </c>
      <c r="V11" s="14">
        <f t="shared" si="1"/>
        <v>296179887.01999986</v>
      </c>
    </row>
    <row r="12" spans="1:22" s="1" customFormat="1" ht="12.75" customHeight="1">
      <c r="A12" s="12" t="s">
        <v>29</v>
      </c>
      <c r="B12" s="13">
        <f>346467.73-325.27</f>
        <v>346142.45999999996</v>
      </c>
      <c r="C12" s="13">
        <f>341273.83-356.44</f>
        <v>340917.39</v>
      </c>
      <c r="D12" s="9">
        <f t="shared" si="2"/>
        <v>687059.85</v>
      </c>
      <c r="E12" s="13">
        <f>393403.94-1087.41</f>
        <v>392316.53</v>
      </c>
      <c r="F12" s="13">
        <f>667088.53-2347.26</f>
        <v>664741.27</v>
      </c>
      <c r="G12" s="9">
        <f t="shared" si="3"/>
        <v>1057057.8</v>
      </c>
      <c r="H12" s="13">
        <v>328813.97</v>
      </c>
      <c r="I12" s="13">
        <v>303024.71</v>
      </c>
      <c r="J12" s="9">
        <f t="shared" si="4"/>
        <v>631838.6799999999</v>
      </c>
      <c r="K12" s="13">
        <v>326481.89</v>
      </c>
      <c r="L12" s="13">
        <v>284244.48</v>
      </c>
      <c r="M12" s="9">
        <f t="shared" si="5"/>
        <v>610726.37</v>
      </c>
      <c r="N12" s="13">
        <v>267902.9</v>
      </c>
      <c r="O12" s="13">
        <v>303749.46</v>
      </c>
      <c r="P12" s="9">
        <f t="shared" si="6"/>
        <v>571652.3600000001</v>
      </c>
      <c r="Q12" s="13">
        <v>413600</v>
      </c>
      <c r="R12" s="13">
        <v>510732.81</v>
      </c>
      <c r="S12" s="9">
        <f>SUM(Q12:R12)</f>
        <v>924332.81</v>
      </c>
      <c r="T12" s="12">
        <f t="shared" si="8"/>
        <v>4482667.870000001</v>
      </c>
      <c r="U12" s="12">
        <f t="shared" si="9"/>
        <v>8041002.93</v>
      </c>
      <c r="V12" s="14">
        <f t="shared" si="1"/>
        <v>3558335.0599999987</v>
      </c>
    </row>
    <row r="13" spans="1:22" s="1" customFormat="1" ht="12.75" customHeight="1">
      <c r="A13" s="8" t="s">
        <v>30</v>
      </c>
      <c r="B13" s="8">
        <f aca="true" t="shared" si="10" ref="B13:S13">B15+B16+B14+B17</f>
        <v>4884212.44</v>
      </c>
      <c r="C13" s="8">
        <f>C15+C16+C14+C17+C18</f>
        <v>4646593.09</v>
      </c>
      <c r="D13" s="10">
        <f t="shared" si="10"/>
        <v>9530805.530000001</v>
      </c>
      <c r="E13" s="8">
        <f>E15+E16+E14+E17</f>
        <v>4887419.53</v>
      </c>
      <c r="F13" s="8">
        <f aca="true" t="shared" si="11" ref="F13:L13">F15+F16+F14+F17+F18</f>
        <v>4578270.19</v>
      </c>
      <c r="G13" s="10">
        <f t="shared" si="11"/>
        <v>9465689.72</v>
      </c>
      <c r="H13" s="8">
        <f t="shared" si="11"/>
        <v>4632798.13</v>
      </c>
      <c r="I13" s="8">
        <f t="shared" si="11"/>
        <v>4269442.58</v>
      </c>
      <c r="J13" s="10">
        <f>J15+J16+J14+J17+J18</f>
        <v>8902240.71</v>
      </c>
      <c r="K13" s="8">
        <f t="shared" si="11"/>
        <v>4599940.55</v>
      </c>
      <c r="L13" s="8">
        <f t="shared" si="11"/>
        <v>4004839.98</v>
      </c>
      <c r="M13" s="10">
        <f t="shared" si="10"/>
        <v>8604780.53</v>
      </c>
      <c r="N13" s="8">
        <f t="shared" si="10"/>
        <v>3774596.67</v>
      </c>
      <c r="O13" s="8">
        <f t="shared" si="10"/>
        <v>4279654.27</v>
      </c>
      <c r="P13" s="10">
        <f t="shared" si="10"/>
        <v>8054250.9399999995</v>
      </c>
      <c r="Q13" s="8">
        <f t="shared" si="10"/>
        <v>5827384.27</v>
      </c>
      <c r="R13" s="8">
        <f t="shared" si="10"/>
        <v>7195929.36</v>
      </c>
      <c r="S13" s="10">
        <f t="shared" si="10"/>
        <v>13023313.63</v>
      </c>
      <c r="T13" s="8">
        <f>T15+T16+T14+T17+T18</f>
        <v>57581081.06</v>
      </c>
      <c r="U13" s="8">
        <f t="shared" si="9"/>
        <v>102138848.49</v>
      </c>
      <c r="V13" s="11">
        <f t="shared" si="1"/>
        <v>44557767.42999999</v>
      </c>
    </row>
    <row r="14" spans="1:22" s="1" customFormat="1" ht="12.75" customHeight="1">
      <c r="A14" s="12" t="s">
        <v>31</v>
      </c>
      <c r="B14" s="12">
        <v>0</v>
      </c>
      <c r="C14" s="14">
        <v>65498.43</v>
      </c>
      <c r="D14" s="9">
        <f aca="true" t="shared" si="12" ref="D14:D20">SUM(B14:C14)</f>
        <v>65498.43</v>
      </c>
      <c r="E14" s="12">
        <v>180014.84</v>
      </c>
      <c r="F14" s="12">
        <v>0</v>
      </c>
      <c r="G14" s="9">
        <f aca="true" t="shared" si="13" ref="G14:G20">SUM(E14:F14)</f>
        <v>180014.84</v>
      </c>
      <c r="H14" s="12">
        <v>709550</v>
      </c>
      <c r="I14" s="12">
        <v>653899.2</v>
      </c>
      <c r="J14" s="9">
        <f aca="true" t="shared" si="14" ref="J14:J20">SUM(H14:I14)</f>
        <v>1363449.2</v>
      </c>
      <c r="K14" s="12">
        <v>704517.6</v>
      </c>
      <c r="L14" s="12">
        <v>613373.2</v>
      </c>
      <c r="M14" s="9">
        <f aca="true" t="shared" si="15" ref="M14:M20">SUM(K14:L14)</f>
        <v>1317890.7999999998</v>
      </c>
      <c r="N14" s="12">
        <v>578109.6</v>
      </c>
      <c r="O14" s="12">
        <v>655463.2</v>
      </c>
      <c r="P14" s="9">
        <f aca="true" t="shared" si="16" ref="P14:P20">SUM(N14:O14)</f>
        <v>1233572.7999999998</v>
      </c>
      <c r="Q14" s="12">
        <v>892510.4</v>
      </c>
      <c r="R14" s="12">
        <v>1102114</v>
      </c>
      <c r="S14" s="9">
        <f aca="true" t="shared" si="17" ref="S14:S21">SUM(Q14:R14)</f>
        <v>1994624.4</v>
      </c>
      <c r="T14" s="12">
        <f aca="true" t="shared" si="18" ref="T14:T20">D14+G14+J14+M14+P14+S14</f>
        <v>6155050.469999999</v>
      </c>
      <c r="U14" s="12">
        <f t="shared" si="9"/>
        <v>10315476.54</v>
      </c>
      <c r="V14" s="14">
        <f t="shared" si="1"/>
        <v>4160426.0700000003</v>
      </c>
    </row>
    <row r="15" spans="1:22" s="1" customFormat="1" ht="12.75" customHeight="1">
      <c r="A15" s="12" t="s">
        <v>32</v>
      </c>
      <c r="B15" s="12">
        <v>14144.97</v>
      </c>
      <c r="C15" s="14">
        <v>12520.27</v>
      </c>
      <c r="D15" s="9">
        <f t="shared" si="12"/>
        <v>26665.239999999998</v>
      </c>
      <c r="E15" s="12">
        <v>7319.31</v>
      </c>
      <c r="F15" s="12">
        <v>8113.23</v>
      </c>
      <c r="G15" s="9">
        <f t="shared" si="13"/>
        <v>15432.54</v>
      </c>
      <c r="H15" s="12">
        <v>1315212.63</v>
      </c>
      <c r="I15" s="12">
        <v>1212059.03</v>
      </c>
      <c r="J15" s="9">
        <f t="shared" si="14"/>
        <v>2527271.66</v>
      </c>
      <c r="K15" s="12">
        <v>1305884.63</v>
      </c>
      <c r="L15" s="12">
        <v>1136940.56</v>
      </c>
      <c r="M15" s="9">
        <f t="shared" si="15"/>
        <v>2442825.19</v>
      </c>
      <c r="N15" s="12">
        <v>1071576.41</v>
      </c>
      <c r="O15" s="12">
        <v>1214958.04</v>
      </c>
      <c r="P15" s="9">
        <f t="shared" si="16"/>
        <v>2286534.45</v>
      </c>
      <c r="Q15" s="12">
        <v>1654345.64</v>
      </c>
      <c r="R15" s="12">
        <v>2042864.14</v>
      </c>
      <c r="S15" s="9">
        <f t="shared" si="17"/>
        <v>3697209.78</v>
      </c>
      <c r="T15" s="12">
        <f t="shared" si="18"/>
        <v>10995938.86</v>
      </c>
      <c r="U15" s="12">
        <f t="shared" si="9"/>
        <v>18294667.94</v>
      </c>
      <c r="V15" s="14">
        <f t="shared" si="1"/>
        <v>7298729.080000002</v>
      </c>
    </row>
    <row r="16" spans="1:22" s="1" customFormat="1" ht="12.75" customHeight="1">
      <c r="A16" s="12" t="s">
        <v>33</v>
      </c>
      <c r="B16" s="12">
        <v>67.47</v>
      </c>
      <c r="C16" s="12">
        <v>165.84</v>
      </c>
      <c r="D16" s="9">
        <f t="shared" si="12"/>
        <v>233.31</v>
      </c>
      <c r="E16" s="12">
        <v>165.38</v>
      </c>
      <c r="F16" s="12">
        <v>2656.96</v>
      </c>
      <c r="G16" s="9">
        <f t="shared" si="13"/>
        <v>2822.34</v>
      </c>
      <c r="H16" s="12">
        <v>1727.6</v>
      </c>
      <c r="I16" s="12">
        <v>1592.1</v>
      </c>
      <c r="J16" s="9">
        <f t="shared" si="14"/>
        <v>3319.7</v>
      </c>
      <c r="K16" s="12">
        <v>1715.35</v>
      </c>
      <c r="L16" s="12">
        <v>1493.43</v>
      </c>
      <c r="M16" s="9">
        <f t="shared" si="15"/>
        <v>3208.7799999999997</v>
      </c>
      <c r="N16" s="12">
        <v>1407.57</v>
      </c>
      <c r="O16" s="12">
        <v>1595.91</v>
      </c>
      <c r="P16" s="9">
        <f t="shared" si="16"/>
        <v>3003.48</v>
      </c>
      <c r="Q16" s="12">
        <v>2173.07</v>
      </c>
      <c r="R16" s="12">
        <v>2683.41</v>
      </c>
      <c r="S16" s="9">
        <f t="shared" si="17"/>
        <v>4856.48</v>
      </c>
      <c r="T16" s="12">
        <f t="shared" si="18"/>
        <v>17444.09</v>
      </c>
      <c r="U16" s="12">
        <f t="shared" si="9"/>
        <v>30031.7</v>
      </c>
      <c r="V16" s="14">
        <f t="shared" si="1"/>
        <v>12587.61</v>
      </c>
    </row>
    <row r="17" spans="1:22" s="1" customFormat="1" ht="12.75" customHeight="1">
      <c r="A17" s="12" t="s">
        <v>34</v>
      </c>
      <c r="B17" s="12">
        <v>4870000</v>
      </c>
      <c r="C17" s="12">
        <v>4568408.55</v>
      </c>
      <c r="D17" s="9">
        <f t="shared" si="12"/>
        <v>9438408.55</v>
      </c>
      <c r="E17" s="12">
        <v>4699920</v>
      </c>
      <c r="F17" s="12">
        <v>4567500</v>
      </c>
      <c r="G17" s="9">
        <f t="shared" si="13"/>
        <v>9267420</v>
      </c>
      <c r="H17" s="12">
        <f>4632798.13-2026490.23</f>
        <v>2606307.9</v>
      </c>
      <c r="I17" s="12">
        <f>4269442.58-1867550.33</f>
        <v>2401892.25</v>
      </c>
      <c r="J17" s="9">
        <f t="shared" si="14"/>
        <v>5008200.15</v>
      </c>
      <c r="K17" s="12">
        <f>4599940.55-2012117.58</f>
        <v>2587822.9699999997</v>
      </c>
      <c r="L17" s="12">
        <f>4004839.98-1751807.19</f>
        <v>2253032.79</v>
      </c>
      <c r="M17" s="9">
        <f t="shared" si="15"/>
        <v>4840855.76</v>
      </c>
      <c r="N17" s="12">
        <f>3774596.67-1651093.58</f>
        <v>2123503.09</v>
      </c>
      <c r="O17" s="12">
        <f>4279654.27-1872017.15</f>
        <v>2407637.1199999996</v>
      </c>
      <c r="P17" s="9">
        <f t="shared" si="16"/>
        <v>4531140.209999999</v>
      </c>
      <c r="Q17" s="12">
        <f>5827384.27-2549029.11</f>
        <v>3278355.1599999997</v>
      </c>
      <c r="R17" s="12">
        <f>7195929.36-3147661.55</f>
        <v>4048267.8100000005</v>
      </c>
      <c r="S17" s="9">
        <f t="shared" si="17"/>
        <v>7326622.970000001</v>
      </c>
      <c r="T17" s="12">
        <f>D17+G17+J17+M17+P17+S17</f>
        <v>40412647.64</v>
      </c>
      <c r="U17" s="12">
        <f t="shared" si="9"/>
        <v>73498672.30999999</v>
      </c>
      <c r="V17" s="14">
        <f t="shared" si="1"/>
        <v>33086024.669999987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4734613.54</v>
      </c>
      <c r="C19" s="12">
        <v>3531942.16</v>
      </c>
      <c r="D19" s="9">
        <f t="shared" si="12"/>
        <v>8266555.7</v>
      </c>
      <c r="E19" s="12">
        <v>3406581.15</v>
      </c>
      <c r="F19" s="12">
        <v>5180680.49</v>
      </c>
      <c r="G19" s="9">
        <f t="shared" si="13"/>
        <v>8587261.64</v>
      </c>
      <c r="H19" s="12">
        <v>3223871.29</v>
      </c>
      <c r="I19" s="12">
        <v>2971019.46</v>
      </c>
      <c r="J19" s="9">
        <f t="shared" si="14"/>
        <v>6194890.75</v>
      </c>
      <c r="K19" s="12">
        <v>3201006.35</v>
      </c>
      <c r="L19" s="12">
        <v>2786887.8</v>
      </c>
      <c r="M19" s="9">
        <f t="shared" si="15"/>
        <v>5987894.15</v>
      </c>
      <c r="N19" s="12">
        <v>2626666.1</v>
      </c>
      <c r="O19" s="12">
        <v>2978125.54</v>
      </c>
      <c r="P19" s="9">
        <f t="shared" si="16"/>
        <v>5604791.640000001</v>
      </c>
      <c r="Q19" s="12">
        <v>4055159.81</v>
      </c>
      <c r="R19" s="12">
        <v>5007502.89</v>
      </c>
      <c r="S19" s="9">
        <f t="shared" si="17"/>
        <v>9062662.7</v>
      </c>
      <c r="T19" s="12">
        <f t="shared" si="18"/>
        <v>43704056.58</v>
      </c>
      <c r="U19" s="12">
        <f t="shared" si="9"/>
        <v>78345450.46</v>
      </c>
      <c r="V19" s="14">
        <f t="shared" si="1"/>
        <v>34641393.879999995</v>
      </c>
    </row>
    <row r="20" spans="1:22" s="1" customFormat="1" ht="12.75" customHeight="1">
      <c r="A20" s="12" t="s">
        <v>37</v>
      </c>
      <c r="B20" s="12">
        <f>605537.93+1025973.2</f>
        <v>1631511.13</v>
      </c>
      <c r="C20" s="12">
        <f>-1261.83+831705.67</f>
        <v>830443.8400000001</v>
      </c>
      <c r="D20" s="9">
        <f t="shared" si="12"/>
        <v>2461954.9699999997</v>
      </c>
      <c r="E20" s="12">
        <v>54967.83</v>
      </c>
      <c r="F20" s="12">
        <v>87124.62</v>
      </c>
      <c r="G20" s="9">
        <f t="shared" si="13"/>
        <v>142092.45</v>
      </c>
      <c r="H20" s="12">
        <f>4240201.42-H19</f>
        <v>1016330.1299999999</v>
      </c>
      <c r="I20" s="12">
        <f>3907637.67-I19</f>
        <v>936618.21</v>
      </c>
      <c r="J20" s="9">
        <f t="shared" si="14"/>
        <v>1952948.3399999999</v>
      </c>
      <c r="K20" s="12">
        <f>4210128.26-K19</f>
        <v>1009121.9099999997</v>
      </c>
      <c r="L20" s="12">
        <f>3665458.24-L19</f>
        <v>878570.4400000004</v>
      </c>
      <c r="M20" s="9">
        <f t="shared" si="15"/>
        <v>1887692.35</v>
      </c>
      <c r="N20" s="12">
        <f>3454726.42-N19</f>
        <v>828060.3199999998</v>
      </c>
      <c r="O20" s="12">
        <f>3916983.95-O19</f>
        <v>938858.4100000001</v>
      </c>
      <c r="P20" s="9">
        <f t="shared" si="16"/>
        <v>1766918.73</v>
      </c>
      <c r="Q20" s="12">
        <f>5333554.85-Q19</f>
        <v>1278395.0399999996</v>
      </c>
      <c r="R20" s="12">
        <f>6586125.46-R19</f>
        <v>1578622.5700000003</v>
      </c>
      <c r="S20" s="9">
        <f t="shared" si="17"/>
        <v>2857017.61</v>
      </c>
      <c r="T20" s="12">
        <f t="shared" si="18"/>
        <v>11068624.45</v>
      </c>
      <c r="U20" s="12">
        <f t="shared" si="9"/>
        <v>19280231.290000003</v>
      </c>
      <c r="V20" s="14">
        <f t="shared" si="1"/>
        <v>8211606.840000004</v>
      </c>
    </row>
    <row r="21" spans="1:24" s="2" customFormat="1" ht="12.75" customHeight="1">
      <c r="A21" s="8" t="s">
        <v>19</v>
      </c>
      <c r="B21" s="8">
        <f>B5+B13-B19-B20</f>
        <v>64442079.46000001</v>
      </c>
      <c r="C21" s="8">
        <f>C5+C13-C19-C20</f>
        <v>57772585.60000001</v>
      </c>
      <c r="D21" s="10">
        <f>D5+D13-D19-D20</f>
        <v>122214665.06</v>
      </c>
      <c r="E21" s="8">
        <f>E5+E13-E19-E20</f>
        <v>46159348.07</v>
      </c>
      <c r="F21" s="8">
        <f>F5+F13-F19-F20</f>
        <v>56576616.87</v>
      </c>
      <c r="G21" s="10">
        <f>SUM(E21:F21)</f>
        <v>102735964.94</v>
      </c>
      <c r="H21" s="8">
        <f>H5+H13-H19-H20</f>
        <v>47262200.23</v>
      </c>
      <c r="I21" s="8">
        <f>I5+I13-I19-I20</f>
        <v>43555372.79</v>
      </c>
      <c r="J21" s="10">
        <f>SUM(H21:I21)</f>
        <v>90817573.02</v>
      </c>
      <c r="K21" s="8">
        <f>K5+K13-K19-K20</f>
        <v>46926998.43</v>
      </c>
      <c r="L21" s="8">
        <f>L5+L13-L19-L20</f>
        <v>40855988.86</v>
      </c>
      <c r="M21" s="10">
        <f>SUM(K21:L21)</f>
        <v>87782987.28999999</v>
      </c>
      <c r="N21" s="8">
        <f>N5+N13-N19-N20</f>
        <v>38507126.37</v>
      </c>
      <c r="O21" s="8">
        <f>O5+O13-O19-O20</f>
        <v>43659548.83</v>
      </c>
      <c r="P21" s="10">
        <f>SUM(N21:O21)</f>
        <v>82166675.19999999</v>
      </c>
      <c r="Q21" s="8">
        <f>Q5+Q13-Q19-Q20</f>
        <v>59448953.62</v>
      </c>
      <c r="R21" s="8">
        <f>R5+R13-R19-R20</f>
        <v>73410376.19</v>
      </c>
      <c r="S21" s="10">
        <f t="shared" si="17"/>
        <v>132859329.81</v>
      </c>
      <c r="T21" s="8">
        <f>T5+T13-T19-T20</f>
        <v>618577195.3199998</v>
      </c>
      <c r="U21" s="8">
        <f>SUM(B21:R21)</f>
        <v>1104295060.83</v>
      </c>
      <c r="V21" s="11">
        <f>U21-T21</f>
        <v>485717865.5100001</v>
      </c>
      <c r="W21" s="1"/>
      <c r="X21" s="1"/>
    </row>
    <row r="22" spans="1:20" s="15" customFormat="1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2" s="4" customFormat="1" ht="12.75" customHeight="1">
      <c r="A23" s="33" t="s">
        <v>0</v>
      </c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29" t="s">
        <v>41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3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0.10705964997617769</v>
      </c>
      <c r="C25" s="16">
        <f>C5/$T$5</f>
        <v>0.09336033093870162</v>
      </c>
      <c r="D25" s="17">
        <f aca="true" t="shared" si="19" ref="D25:D36">SUM(B25:C25)</f>
        <v>0.2004199809148793</v>
      </c>
      <c r="E25" s="16">
        <f>E5/$T$5</f>
        <v>0.07264654828592361</v>
      </c>
      <c r="F25" s="16">
        <f>F5/$T$5</f>
        <v>0.09299943782151249</v>
      </c>
      <c r="G25" s="17">
        <f aca="true" t="shared" si="20" ref="G25:G36">SUM(E25:F25)</f>
        <v>0.16564598610743608</v>
      </c>
      <c r="H25" s="16">
        <f>H5/$T$5</f>
        <v>0.07611558734139244</v>
      </c>
      <c r="I25" s="16">
        <f>I5/$T$5</f>
        <v>0.07014575634619116</v>
      </c>
      <c r="J25" s="17">
        <f aca="true" t="shared" si="21" ref="J25:J36">SUM(H25:I25)</f>
        <v>0.1462613436875836</v>
      </c>
      <c r="K25" s="16">
        <f>K5/$T$5</f>
        <v>0.07557574611763664</v>
      </c>
      <c r="L25" s="16">
        <f>L5/$T$5</f>
        <v>0.06579840912678672</v>
      </c>
      <c r="M25" s="17">
        <f aca="true" t="shared" si="22" ref="M25:M36">SUM(K25:L25)</f>
        <v>0.14137415524442337</v>
      </c>
      <c r="N25" s="16">
        <f>N5/$T$5</f>
        <v>0.06201557534596323</v>
      </c>
      <c r="O25" s="16">
        <f>O5/$T$5</f>
        <v>0.07031353137927211</v>
      </c>
      <c r="P25" s="17">
        <f aca="true" t="shared" si="23" ref="P25:P36">SUM(N25:O25)</f>
        <v>0.13232910672523535</v>
      </c>
      <c r="Q25" s="16">
        <f>Q5/$T$5</f>
        <v>0.09574230563637888</v>
      </c>
      <c r="R25" s="16">
        <f>R5/$T$5</f>
        <v>0.11822712168406349</v>
      </c>
      <c r="S25" s="17">
        <f aca="true" t="shared" si="24" ref="S25:S36">SUM(Q25:R25)</f>
        <v>0.21396942732044238</v>
      </c>
      <c r="T25" s="16">
        <f aca="true" t="shared" si="25" ref="T25:T36">SUM(B25+C25+E25+F25+H25+I25+K25+L25+N25+O25+Q25+R25)</f>
        <v>1</v>
      </c>
      <c r="U25" s="16">
        <f aca="true" t="shared" si="26" ref="U25:U36">SUM(B25:R25)</f>
        <v>1.786030572679558</v>
      </c>
      <c r="V25" s="16">
        <f aca="true" t="shared" si="27" ref="V25:V36">U25-T25</f>
        <v>0.786030572679558</v>
      </c>
    </row>
    <row r="26" spans="1:23" s="22" customFormat="1" ht="24.75" customHeight="1">
      <c r="A26" s="27" t="s">
        <v>39</v>
      </c>
      <c r="B26" s="19">
        <f>B6/$T$6</f>
        <v>0.12811888718228182</v>
      </c>
      <c r="C26" s="19">
        <f>C6/$T$6</f>
        <v>0.12375454170659754</v>
      </c>
      <c r="D26" s="20">
        <f t="shared" si="19"/>
        <v>0.25187342888887937</v>
      </c>
      <c r="E26" s="19">
        <f>E6/$T$6</f>
        <v>0.06101933213111996</v>
      </c>
      <c r="F26" s="19">
        <f>F6/$T$6</f>
        <v>0.07151196142849149</v>
      </c>
      <c r="G26" s="20">
        <f t="shared" si="20"/>
        <v>0.13253129355961146</v>
      </c>
      <c r="H26" s="19">
        <f>H6/$T$6</f>
        <v>0.07391367820029496</v>
      </c>
      <c r="I26" s="19">
        <f>I6/$T$6</f>
        <v>0.06811654532880701</v>
      </c>
      <c r="J26" s="20">
        <f t="shared" si="21"/>
        <v>0.14203022352910197</v>
      </c>
      <c r="K26" s="19">
        <f>K6/$T$6</f>
        <v>0.07338945387049677</v>
      </c>
      <c r="L26" s="19">
        <f>L6/$T$6</f>
        <v>0.06389496016912527</v>
      </c>
      <c r="M26" s="20">
        <f t="shared" si="22"/>
        <v>0.13728441403962205</v>
      </c>
      <c r="N26" s="19">
        <f>N6/$T$6</f>
        <v>0.06022155834302718</v>
      </c>
      <c r="O26" s="19">
        <f>O6/$T$6</f>
        <v>0.06827946699748744</v>
      </c>
      <c r="P26" s="20">
        <f t="shared" si="23"/>
        <v>0.1285010253405146</v>
      </c>
      <c r="Q26" s="19">
        <f>Q6/$T$6</f>
        <v>0.09297262519461644</v>
      </c>
      <c r="R26" s="19">
        <f>R6/$T$6</f>
        <v>0.11480698944765438</v>
      </c>
      <c r="S26" s="20">
        <f t="shared" si="24"/>
        <v>0.20777961464227082</v>
      </c>
      <c r="T26" s="16">
        <f t="shared" si="25"/>
        <v>1.0000000000000004</v>
      </c>
      <c r="U26" s="19">
        <f t="shared" si="26"/>
        <v>1.7922203853577297</v>
      </c>
      <c r="V26" s="19">
        <f t="shared" si="27"/>
        <v>0.7922203853577292</v>
      </c>
      <c r="W26" s="21"/>
    </row>
    <row r="27" spans="1:22" s="22" customFormat="1" ht="12.75" customHeight="1">
      <c r="A27" s="19" t="s">
        <v>24</v>
      </c>
      <c r="B27" s="19">
        <f>B7/$T$7</f>
        <v>0.09164944850212688</v>
      </c>
      <c r="C27" s="19">
        <f>C7/$T$7</f>
        <v>0.08994165360463557</v>
      </c>
      <c r="D27" s="20">
        <f>SUM(B27:C27)</f>
        <v>0.18159110210676244</v>
      </c>
      <c r="E27" s="19">
        <f>E7/$T$7</f>
        <v>0.08328130567658397</v>
      </c>
      <c r="F27" s="19">
        <f>F7/$T$7</f>
        <v>0.08577102227004348</v>
      </c>
      <c r="G27" s="20">
        <f t="shared" si="20"/>
        <v>0.16905232794662745</v>
      </c>
      <c r="H27" s="19">
        <f>H7/$T$7</f>
        <v>0.07796735008720122</v>
      </c>
      <c r="I27" s="19">
        <f>I7/$T$7</f>
        <v>0.07185228401766497</v>
      </c>
      <c r="J27" s="20">
        <f t="shared" si="21"/>
        <v>0.1498196341048662</v>
      </c>
      <c r="K27" s="19">
        <f>K7/$T$7</f>
        <v>0.07741437570734581</v>
      </c>
      <c r="L27" s="19">
        <f>L7/$T$7</f>
        <v>0.06739917258923296</v>
      </c>
      <c r="M27" s="20">
        <f t="shared" si="22"/>
        <v>0.14481354829657878</v>
      </c>
      <c r="N27" s="19">
        <f>N7/$T$7</f>
        <v>0.0635243091620833</v>
      </c>
      <c r="O27" s="19">
        <f>O7/$T$7</f>
        <v>0.0720241395870351</v>
      </c>
      <c r="P27" s="20">
        <f t="shared" si="23"/>
        <v>0.13554844874911842</v>
      </c>
      <c r="Q27" s="19">
        <f>Q7/$T$7</f>
        <v>0.09807155350529367</v>
      </c>
      <c r="R27" s="19">
        <f>R7/$T$7</f>
        <v>0.12110338529075303</v>
      </c>
      <c r="S27" s="20">
        <f t="shared" si="24"/>
        <v>0.21917493879604671</v>
      </c>
      <c r="T27" s="16">
        <f t="shared" si="25"/>
        <v>1</v>
      </c>
      <c r="U27" s="19">
        <f t="shared" si="26"/>
        <v>1.7808250612039533</v>
      </c>
      <c r="V27" s="19">
        <f t="shared" si="27"/>
        <v>0.7808250612039533</v>
      </c>
    </row>
    <row r="28" spans="1:22" s="22" customFormat="1" ht="12.75" customHeight="1">
      <c r="A28" s="19" t="s">
        <v>25</v>
      </c>
      <c r="B28" s="19">
        <f>B8/$T$8</f>
        <v>0.09799141968203631</v>
      </c>
      <c r="C28" s="19">
        <f>C8/$T$8</f>
        <v>0.08366530935846091</v>
      </c>
      <c r="D28" s="20">
        <f t="shared" si="19"/>
        <v>0.18165672904049723</v>
      </c>
      <c r="E28" s="19">
        <f>E8/$T$8</f>
        <v>0.09738681729256198</v>
      </c>
      <c r="F28" s="19">
        <f>F8/$T$8</f>
        <v>0.10414990811360975</v>
      </c>
      <c r="G28" s="20">
        <f t="shared" si="20"/>
        <v>0.20153672540617174</v>
      </c>
      <c r="H28" s="19">
        <f>H8/$T$8</f>
        <v>0.07405911696460221</v>
      </c>
      <c r="I28" s="19">
        <f>I8/$T$8</f>
        <v>0.06825057164026416</v>
      </c>
      <c r="J28" s="20">
        <f t="shared" si="21"/>
        <v>0.14230968860486637</v>
      </c>
      <c r="K28" s="19">
        <f>K8/$T$8</f>
        <v>0.07353385496261752</v>
      </c>
      <c r="L28" s="19">
        <f>L8/$T$8</f>
        <v>0.06402068833385396</v>
      </c>
      <c r="M28" s="20">
        <f t="shared" si="22"/>
        <v>0.1375545432964715</v>
      </c>
      <c r="N28" s="19">
        <f>N8/$T$8</f>
        <v>0.060340050694787574</v>
      </c>
      <c r="O28" s="19">
        <f>O8/$T$8</f>
        <v>0.0684138178615972</v>
      </c>
      <c r="P28" s="20">
        <f t="shared" si="23"/>
        <v>0.12875386855638477</v>
      </c>
      <c r="Q28" s="19">
        <f>Q8/$T$8</f>
        <v>0.09315555421289902</v>
      </c>
      <c r="R28" s="19">
        <f>R8/$T$8</f>
        <v>0.11503289088270952</v>
      </c>
      <c r="S28" s="20">
        <f t="shared" si="24"/>
        <v>0.20818844509560852</v>
      </c>
      <c r="T28" s="16">
        <f t="shared" si="25"/>
        <v>1</v>
      </c>
      <c r="U28" s="19">
        <f t="shared" si="26"/>
        <v>1.7918115549043914</v>
      </c>
      <c r="V28" s="19">
        <f t="shared" si="27"/>
        <v>0.7918115549043914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</v>
      </c>
      <c r="C30" s="19">
        <f>C10/$T$10</f>
        <v>0.5101424450054093</v>
      </c>
      <c r="D30" s="20">
        <f t="shared" si="19"/>
        <v>0.5101424450054093</v>
      </c>
      <c r="E30" s="19">
        <f>E10/$T$10</f>
        <v>0.24531193653083302</v>
      </c>
      <c r="F30" s="19">
        <f>F10/$T$10</f>
        <v>0.24454561846375766</v>
      </c>
      <c r="G30" s="20">
        <f t="shared" si="20"/>
        <v>0.4898575549945907</v>
      </c>
      <c r="H30" s="19">
        <f>H10/$T$10</f>
        <v>0</v>
      </c>
      <c r="I30" s="19">
        <f>I10/$T$10</f>
        <v>0</v>
      </c>
      <c r="J30" s="20">
        <f t="shared" si="21"/>
        <v>0</v>
      </c>
      <c r="K30" s="19">
        <f>K10/$T$10</f>
        <v>0</v>
      </c>
      <c r="L30" s="19">
        <f>L10/$T$10</f>
        <v>0</v>
      </c>
      <c r="M30" s="20">
        <f t="shared" si="22"/>
        <v>0</v>
      </c>
      <c r="N30" s="19">
        <f>N10/$T$10</f>
        <v>0</v>
      </c>
      <c r="O30" s="19">
        <f>O10/$T$10</f>
        <v>0</v>
      </c>
      <c r="P30" s="20">
        <f t="shared" si="23"/>
        <v>0</v>
      </c>
      <c r="Q30" s="19">
        <f>Q10/$T$10</f>
        <v>0</v>
      </c>
      <c r="R30" s="19">
        <f>R10/$T$10</f>
        <v>0</v>
      </c>
      <c r="S30" s="20">
        <f t="shared" si="24"/>
        <v>0</v>
      </c>
      <c r="T30" s="16">
        <f t="shared" si="25"/>
        <v>1</v>
      </c>
      <c r="U30" s="19">
        <f t="shared" si="26"/>
        <v>1.9999999999999998</v>
      </c>
      <c r="V30" s="19">
        <f t="shared" si="27"/>
        <v>0.9999999999999998</v>
      </c>
    </row>
    <row r="31" spans="1:22" s="22" customFormat="1" ht="12.75" customHeight="1">
      <c r="A31" s="19" t="s">
        <v>28</v>
      </c>
      <c r="B31" s="19">
        <f>B11/$T$11</f>
        <v>0.09588501625852103</v>
      </c>
      <c r="C31" s="19">
        <f>C11/$T$11</f>
        <v>0.07642880357140024</v>
      </c>
      <c r="D31" s="20">
        <f t="shared" si="19"/>
        <v>0.17231381982992128</v>
      </c>
      <c r="E31" s="19">
        <f>E11/$T$11</f>
        <v>0.07840587580632018</v>
      </c>
      <c r="F31" s="19">
        <f>F11/$T$11</f>
        <v>0.10459811486764044</v>
      </c>
      <c r="G31" s="20">
        <f t="shared" si="20"/>
        <v>0.18300399067396061</v>
      </c>
      <c r="H31" s="19">
        <f>H11/$T$11</f>
        <v>0.07740610361394923</v>
      </c>
      <c r="I31" s="19">
        <f>I11/$T$11</f>
        <v>0.07133505614572512</v>
      </c>
      <c r="J31" s="20">
        <f t="shared" si="21"/>
        <v>0.14874115975967434</v>
      </c>
      <c r="K31" s="19">
        <f>K11/$T$11</f>
        <v>0.07685710961220833</v>
      </c>
      <c r="L31" s="19">
        <f>L11/$T$11</f>
        <v>0.06691400091902527</v>
      </c>
      <c r="M31" s="20">
        <f t="shared" si="22"/>
        <v>0.1437711105312336</v>
      </c>
      <c r="N31" s="19">
        <f>N11/$T$11</f>
        <v>0.06306703035031774</v>
      </c>
      <c r="O31" s="19">
        <f>O11/$T$11</f>
        <v>0.07150567570424532</v>
      </c>
      <c r="P31" s="20">
        <f t="shared" si="23"/>
        <v>0.13457270605456306</v>
      </c>
      <c r="Q31" s="19">
        <f>Q11/$T$11</f>
        <v>0.0973655870606396</v>
      </c>
      <c r="R31" s="19">
        <f>R11/$T$11</f>
        <v>0.12023162609000741</v>
      </c>
      <c r="S31" s="20">
        <f t="shared" si="24"/>
        <v>0.217597213150647</v>
      </c>
      <c r="T31" s="16">
        <f t="shared" si="25"/>
        <v>1</v>
      </c>
      <c r="U31" s="19">
        <f t="shared" si="26"/>
        <v>1.782402786849353</v>
      </c>
      <c r="V31" s="19">
        <f t="shared" si="27"/>
        <v>0.782402786849353</v>
      </c>
    </row>
    <row r="32" spans="1:22" s="22" customFormat="1" ht="12.75" customHeight="1">
      <c r="A32" s="19" t="s">
        <v>29</v>
      </c>
      <c r="B32" s="19">
        <f>B12/$T$12</f>
        <v>0.07721795815312096</v>
      </c>
      <c r="C32" s="19">
        <f>C12/$T$12</f>
        <v>0.07605234201747807</v>
      </c>
      <c r="D32" s="20">
        <f t="shared" si="19"/>
        <v>0.15327030017059903</v>
      </c>
      <c r="E32" s="19">
        <f>E12/$T$12</f>
        <v>0.08751853614352204</v>
      </c>
      <c r="F32" s="19">
        <f>F12/$T$12</f>
        <v>0.1482914392227769</v>
      </c>
      <c r="G32" s="20">
        <f t="shared" si="20"/>
        <v>0.23580997536629894</v>
      </c>
      <c r="H32" s="19">
        <f>H12/$T$12</f>
        <v>0.07335229366435303</v>
      </c>
      <c r="I32" s="19">
        <f>I12/$T$12</f>
        <v>0.06759918842704711</v>
      </c>
      <c r="J32" s="20">
        <f t="shared" si="21"/>
        <v>0.14095148209140013</v>
      </c>
      <c r="K32" s="19">
        <f>K12/$T$12</f>
        <v>0.07283204990156898</v>
      </c>
      <c r="L32" s="19">
        <f>L12/$T$12</f>
        <v>0.06340966768970102</v>
      </c>
      <c r="M32" s="20">
        <f t="shared" si="22"/>
        <v>0.13624171759127002</v>
      </c>
      <c r="N32" s="19">
        <f>N12/$T$12</f>
        <v>0.05976416450411705</v>
      </c>
      <c r="O32" s="19">
        <f>O12/$T$12</f>
        <v>0.06776086670012427</v>
      </c>
      <c r="P32" s="20">
        <f t="shared" si="23"/>
        <v>0.1275250312042413</v>
      </c>
      <c r="Q32" s="19">
        <f>Q12/$T$12</f>
        <v>0.09226648326278965</v>
      </c>
      <c r="R32" s="19">
        <f>R12/$T$12</f>
        <v>0.11393501031340068</v>
      </c>
      <c r="S32" s="20">
        <f t="shared" si="24"/>
        <v>0.20620149357619033</v>
      </c>
      <c r="T32" s="16">
        <f t="shared" si="25"/>
        <v>0.9999999999999998</v>
      </c>
      <c r="U32" s="19">
        <f t="shared" si="26"/>
        <v>1.7937985064238091</v>
      </c>
      <c r="V32" s="19">
        <f t="shared" si="27"/>
        <v>0.7937985064238093</v>
      </c>
    </row>
    <row r="33" spans="1:22" s="18" customFormat="1" ht="12.75" customHeight="1">
      <c r="A33" s="16" t="s">
        <v>30</v>
      </c>
      <c r="B33" s="16">
        <f>B13/$T$13</f>
        <v>0.08482321537017701</v>
      </c>
      <c r="C33" s="16">
        <f>C13/$T$13</f>
        <v>0.08069652400513648</v>
      </c>
      <c r="D33" s="17">
        <f t="shared" si="19"/>
        <v>0.1655197393753135</v>
      </c>
      <c r="E33" s="16">
        <f>E13/$T$13</f>
        <v>0.08487891230988291</v>
      </c>
      <c r="F33" s="16">
        <f>F13/$T$13</f>
        <v>0.07950997281953429</v>
      </c>
      <c r="G33" s="17">
        <f t="shared" si="20"/>
        <v>0.16438888512941718</v>
      </c>
      <c r="H33" s="16">
        <f>H13/$T$13</f>
        <v>0.0804569494826362</v>
      </c>
      <c r="I33" s="16">
        <f>I13/$T$13</f>
        <v>0.07414662075467465</v>
      </c>
      <c r="J33" s="17">
        <f t="shared" si="21"/>
        <v>0.15460357023731086</v>
      </c>
      <c r="K33" s="16">
        <f>K13/$T$13</f>
        <v>0.07988631795931064</v>
      </c>
      <c r="L33" s="16">
        <f>L13/$T$13</f>
        <v>0.06955131627047642</v>
      </c>
      <c r="M33" s="17">
        <f t="shared" si="22"/>
        <v>0.14943763422978706</v>
      </c>
      <c r="N33" s="16">
        <f>N13/$T$13</f>
        <v>0.06555272322981981</v>
      </c>
      <c r="O33" s="16">
        <f>O13/$T$13</f>
        <v>0.07432396528888649</v>
      </c>
      <c r="P33" s="17">
        <f t="shared" si="23"/>
        <v>0.1398766885187063</v>
      </c>
      <c r="Q33" s="16">
        <f>Q13/$T$13</f>
        <v>0.1012031063454299</v>
      </c>
      <c r="R33" s="16">
        <f>R13/$T$13</f>
        <v>0.12497037616403515</v>
      </c>
      <c r="S33" s="17">
        <f t="shared" si="24"/>
        <v>0.22617348250946506</v>
      </c>
      <c r="T33" s="16">
        <f t="shared" si="25"/>
        <v>1</v>
      </c>
      <c r="U33" s="16">
        <f t="shared" si="26"/>
        <v>1.773826517490535</v>
      </c>
      <c r="V33" s="16">
        <f t="shared" si="27"/>
        <v>0.773826517490535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0.01064141233597391</v>
      </c>
      <c r="D34" s="20">
        <f t="shared" si="19"/>
        <v>0.01064141233597391</v>
      </c>
      <c r="E34" s="19">
        <f>E14/$T$14</f>
        <v>0.029246687882967113</v>
      </c>
      <c r="F34" s="19">
        <f>F14/$T$14</f>
        <v>0</v>
      </c>
      <c r="G34" s="20">
        <f t="shared" si="20"/>
        <v>0.029246687882967113</v>
      </c>
      <c r="H34" s="19">
        <f>H14/$T$14</f>
        <v>0.11527931467960817</v>
      </c>
      <c r="I34" s="19">
        <f>I14/$T$14</f>
        <v>0.10623782911076603</v>
      </c>
      <c r="J34" s="20">
        <f t="shared" si="21"/>
        <v>0.22151714379037418</v>
      </c>
      <c r="K34" s="19">
        <f>K14/$T$14</f>
        <v>0.11446170968602962</v>
      </c>
      <c r="L34" s="19">
        <f>L14/$T$14</f>
        <v>0.0996536426451106</v>
      </c>
      <c r="M34" s="20">
        <f t="shared" si="22"/>
        <v>0.2141153523311402</v>
      </c>
      <c r="N34" s="19">
        <f>N14/$T$14</f>
        <v>0.093924428860126</v>
      </c>
      <c r="O34" s="19">
        <f>O14/$T$14</f>
        <v>0.10649192938299336</v>
      </c>
      <c r="P34" s="20">
        <f t="shared" si="23"/>
        <v>0.20041635824311937</v>
      </c>
      <c r="Q34" s="19">
        <f>Q14/$T$14</f>
        <v>0.14500456240775556</v>
      </c>
      <c r="R34" s="19">
        <f>R14/$T$14</f>
        <v>0.17905848300866983</v>
      </c>
      <c r="S34" s="20">
        <f t="shared" si="24"/>
        <v>0.3240630454164254</v>
      </c>
      <c r="T34" s="16">
        <f t="shared" si="25"/>
        <v>1.0000000000000002</v>
      </c>
      <c r="U34" s="19">
        <f t="shared" si="26"/>
        <v>1.675936954583575</v>
      </c>
      <c r="V34" s="19">
        <f t="shared" si="27"/>
        <v>0.6759369545835747</v>
      </c>
    </row>
    <row r="35" spans="1:22" s="22" customFormat="1" ht="12.75" customHeight="1">
      <c r="A35" s="19" t="s">
        <v>32</v>
      </c>
      <c r="B35" s="19">
        <f>B15/$T$15</f>
        <v>0.0012863812885914865</v>
      </c>
      <c r="C35" s="19">
        <f>C15/$T$15</f>
        <v>0.0011386267384174962</v>
      </c>
      <c r="D35" s="20">
        <f t="shared" si="19"/>
        <v>0.002425008027008983</v>
      </c>
      <c r="E35" s="19">
        <f>E15/$T$15</f>
        <v>0.0006656375679411517</v>
      </c>
      <c r="F35" s="19">
        <f>F15/$T$15</f>
        <v>0.0007378387696855564</v>
      </c>
      <c r="G35" s="20">
        <f t="shared" si="20"/>
        <v>0.0014034763376267081</v>
      </c>
      <c r="H35" s="19">
        <f>H15/$T$15</f>
        <v>0.11960894351498785</v>
      </c>
      <c r="I35" s="19">
        <f>I15/$T$15</f>
        <v>0.1102278800775362</v>
      </c>
      <c r="J35" s="20">
        <f t="shared" si="21"/>
        <v>0.22983682359252405</v>
      </c>
      <c r="K35" s="19">
        <f>K15/$T$15</f>
        <v>0.1187606303223843</v>
      </c>
      <c r="L35" s="19">
        <f>L15/$T$15</f>
        <v>0.10339640611643053</v>
      </c>
      <c r="M35" s="20">
        <f t="shared" si="22"/>
        <v>0.22215703643881485</v>
      </c>
      <c r="N35" s="19">
        <f>N15/$T$15</f>
        <v>0.09745201602548743</v>
      </c>
      <c r="O35" s="19">
        <f>O15/$T$15</f>
        <v>0.11049152377698834</v>
      </c>
      <c r="P35" s="20">
        <f t="shared" si="23"/>
        <v>0.20794353980247576</v>
      </c>
      <c r="Q35" s="19">
        <f>Q15/$T$15</f>
        <v>0.15045060372407346</v>
      </c>
      <c r="R35" s="19">
        <f>R15/$T$15</f>
        <v>0.1857835120774762</v>
      </c>
      <c r="S35" s="20">
        <f t="shared" si="24"/>
        <v>0.33623411580154966</v>
      </c>
      <c r="T35" s="16">
        <f t="shared" si="25"/>
        <v>1</v>
      </c>
      <c r="U35" s="19">
        <f t="shared" si="26"/>
        <v>1.6637658841984504</v>
      </c>
      <c r="V35" s="19">
        <f t="shared" si="27"/>
        <v>0.6637658841984504</v>
      </c>
    </row>
    <row r="36" spans="1:22" s="22" customFormat="1" ht="12.75" customHeight="1">
      <c r="A36" s="19" t="s">
        <v>35</v>
      </c>
      <c r="B36" s="19">
        <f>B16/$T$16</f>
        <v>0.0038677855938601554</v>
      </c>
      <c r="C36" s="19">
        <f>C16/$T$16</f>
        <v>0.009506944758941281</v>
      </c>
      <c r="D36" s="20">
        <f t="shared" si="19"/>
        <v>0.013374730352801437</v>
      </c>
      <c r="E36" s="19">
        <f>E16/$T$16</f>
        <v>0.00948057479639236</v>
      </c>
      <c r="F36" s="19">
        <f>F16/$T$16</f>
        <v>0.15231290368256528</v>
      </c>
      <c r="G36" s="20">
        <f t="shared" si="20"/>
        <v>0.16179347847895764</v>
      </c>
      <c r="H36" s="19">
        <f>H16/$T$16</f>
        <v>0.09903640717285911</v>
      </c>
      <c r="I36" s="19">
        <f>I16/$T$16</f>
        <v>0.09126873342203577</v>
      </c>
      <c r="J36" s="20">
        <f t="shared" si="21"/>
        <v>0.1903051405948949</v>
      </c>
      <c r="K36" s="19">
        <f>K16/$T$16</f>
        <v>0.09833416360498025</v>
      </c>
      <c r="L36" s="19">
        <f>L16/$T$16</f>
        <v>0.08561237645529231</v>
      </c>
      <c r="M36" s="20">
        <f t="shared" si="22"/>
        <v>0.18394654006027256</v>
      </c>
      <c r="N36" s="19">
        <f>N16/$T$16</f>
        <v>0.08069036561953073</v>
      </c>
      <c r="O36" s="19">
        <f>O16/$T$16</f>
        <v>0.09148714550314749</v>
      </c>
      <c r="P36" s="20">
        <f t="shared" si="23"/>
        <v>0.1721775111226782</v>
      </c>
      <c r="Q36" s="19">
        <f>Q16/$T$16</f>
        <v>0.12457342286126706</v>
      </c>
      <c r="R36" s="19">
        <f>R16/$T$16</f>
        <v>0.1538291765291282</v>
      </c>
      <c r="S36" s="20">
        <f t="shared" si="24"/>
        <v>0.27840259939039524</v>
      </c>
      <c r="T36" s="16">
        <f t="shared" si="25"/>
        <v>1</v>
      </c>
      <c r="U36" s="19">
        <f t="shared" si="26"/>
        <v>1.7215974006096046</v>
      </c>
      <c r="V36" s="19">
        <f t="shared" si="27"/>
        <v>0.7215974006096046</v>
      </c>
    </row>
    <row r="37" spans="1:22" s="22" customFormat="1" ht="12.75" customHeight="1">
      <c r="A37" s="12" t="s">
        <v>34</v>
      </c>
      <c r="B37" s="19">
        <f>B17/$T$17</f>
        <v>0.12050682853997734</v>
      </c>
      <c r="C37" s="19">
        <f>C17/$T$17</f>
        <v>0.11304402994567074</v>
      </c>
      <c r="D37" s="20">
        <f>SUM(B37:C37)</f>
        <v>0.23355085848564808</v>
      </c>
      <c r="E37" s="19">
        <f>E17/$T$17</f>
        <v>0.11629824509067974</v>
      </c>
      <c r="F37" s="19">
        <f>F17/$T$17</f>
        <v>0.11302154812245307</v>
      </c>
      <c r="G37" s="20">
        <f>SUM(E37:F37)</f>
        <v>0.2293197932131328</v>
      </c>
      <c r="H37" s="19">
        <f>H17/$T$17</f>
        <v>0.06449238177159926</v>
      </c>
      <c r="I37" s="19">
        <f>I17/$T$17</f>
        <v>0.05943417197992821</v>
      </c>
      <c r="J37" s="20">
        <f>SUM(H37:I37)</f>
        <v>0.12392655375152747</v>
      </c>
      <c r="K37" s="19">
        <f>K17/$T$17</f>
        <v>0.06403497719458007</v>
      </c>
      <c r="L37" s="19">
        <f>L17/$T$17</f>
        <v>0.05575068503480016</v>
      </c>
      <c r="M37" s="20">
        <f>SUM(K37:L37)</f>
        <v>0.11978566222938022</v>
      </c>
      <c r="N37" s="19">
        <f>N17/$T$17</f>
        <v>0.05254550775579919</v>
      </c>
      <c r="O37" s="19">
        <f>O17/$T$17</f>
        <v>0.059576327229224804</v>
      </c>
      <c r="P37" s="20">
        <f>SUM(N37:O37)</f>
        <v>0.112121834985024</v>
      </c>
      <c r="Q37" s="19">
        <f>Q17/$T$17</f>
        <v>0.0811220088622731</v>
      </c>
      <c r="R37" s="19">
        <f>R17/$T$17</f>
        <v>0.1001732884730143</v>
      </c>
      <c r="S37" s="20">
        <f>SUM(Q37:R37)</f>
        <v>0.18129529733528738</v>
      </c>
      <c r="T37" s="16">
        <f>SUM(B37+C37+E37+F37+H37+I37+K37+L37+N37+O37+Q37+R37)</f>
        <v>1</v>
      </c>
      <c r="U37" s="19">
        <f>SUM(B37:R37)</f>
        <v>1.8187047026647125</v>
      </c>
      <c r="V37" s="19">
        <f>U37-T37</f>
        <v>0.8187047026647125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</sheetData>
  <sheetProtection/>
  <mergeCells count="13"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  <mergeCell ref="K23:T23"/>
    <mergeCell ref="P3:P4"/>
    <mergeCell ref="S3:S4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Diretoria Legislativa 5</cp:lastModifiedBy>
  <cp:lastPrinted>2019-05-22T12:00:55Z</cp:lastPrinted>
  <dcterms:created xsi:type="dcterms:W3CDTF">2005-01-14T10:04:29Z</dcterms:created>
  <dcterms:modified xsi:type="dcterms:W3CDTF">2019-06-05T11:51:45Z</dcterms:modified>
  <cp:category/>
  <cp:version/>
  <cp:contentType/>
  <cp:contentStatus/>
  <cp:revision>2</cp:revision>
</cp:coreProperties>
</file>