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NEXO I" sheetId="1" r:id="rId1"/>
  </sheets>
  <definedNames>
    <definedName name="_xlnm.Print_Titles" localSheetId="0">'ANEXO I'!$A:$A</definedName>
  </definedNames>
  <calcPr fullCalcOnLoad="1"/>
</workbook>
</file>

<file path=xl/sharedStrings.xml><?xml version="1.0" encoding="utf-8"?>
<sst xmlns="http://schemas.openxmlformats.org/spreadsheetml/2006/main" count="90" uniqueCount="43">
  <si>
    <t>Fontes de Receita</t>
  </si>
  <si>
    <t>JANEIRO</t>
  </si>
  <si>
    <t>FEVEREIRO</t>
  </si>
  <si>
    <t>1º BIMESTRE</t>
  </si>
  <si>
    <t>MARÇO</t>
  </si>
  <si>
    <t>ABRIL</t>
  </si>
  <si>
    <t>2º BIMESTRE</t>
  </si>
  <si>
    <t>MAIO</t>
  </si>
  <si>
    <t>JUNHO</t>
  </si>
  <si>
    <t>3º BIMESTRE</t>
  </si>
  <si>
    <t>JULHO</t>
  </si>
  <si>
    <t>AGOSTO</t>
  </si>
  <si>
    <t>4º BIMESTRE</t>
  </si>
  <si>
    <t>SETEMBRO</t>
  </si>
  <si>
    <t>OUTUBRO</t>
  </si>
  <si>
    <t>5º BIMESTRE</t>
  </si>
  <si>
    <t>NOVEMBRO</t>
  </si>
  <si>
    <t>DEZEMBRO</t>
  </si>
  <si>
    <t>6º BIMESTRE</t>
  </si>
  <si>
    <t>TOTAL</t>
  </si>
  <si>
    <t>Previsto</t>
  </si>
  <si>
    <t>Arrecadado</t>
  </si>
  <si>
    <t>Diferença</t>
  </si>
  <si>
    <t>RECEITAS CORRENTES</t>
  </si>
  <si>
    <t>RECEITA DE CONTRIBUIÇÃO</t>
  </si>
  <si>
    <t>RECEITA PATRIMONIAL</t>
  </si>
  <si>
    <t>RECEITA AGROPECUÁRIA</t>
  </si>
  <si>
    <t>RECEITA DE SERVIÇOS</t>
  </si>
  <si>
    <t>TRANSFERÊNCIAS CORRENTES</t>
  </si>
  <si>
    <t>OUTRAS RECEITAS CORRENTES</t>
  </si>
  <si>
    <t>RECEITAS DE CAPITAL</t>
  </si>
  <si>
    <t>OPERAÇÕES DE CRÉDITO</t>
  </si>
  <si>
    <t>ALIENAÇÃO DE BENS</t>
  </si>
  <si>
    <t>AMORT. DE EMPRÉSTIMOS</t>
  </si>
  <si>
    <t>TRANSFERÊNCIAS DE CAPITAL</t>
  </si>
  <si>
    <t>AMORT.  DE EMPRÉSTIMOS</t>
  </si>
  <si>
    <t>DEDUTORA FUNDEB</t>
  </si>
  <si>
    <t>DEDUÇÃO POR RENÚNCIA</t>
  </si>
  <si>
    <t>OUTRAS RECEITAS DE CAPITAL</t>
  </si>
  <si>
    <t>IMPOSTOS, TAXAS E CONTRIBUIÇÕES DE MELHORIA</t>
  </si>
  <si>
    <t>ANEXO I – METAS DE ARRECADAÇÃO PARA O EXERCÍCIO 2019</t>
  </si>
  <si>
    <t>PROJEÇÃO PERCENTUAL DA ARRECADAÇÃO MENSAL – 2019</t>
  </si>
  <si>
    <t>Realizado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</si>
</sst>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_(* #,##0.00_);_(* \(#,##0.00\);_(* \-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Alignment="0" applyProtection="0"/>
    <xf numFmtId="0" fontId="29" fillId="21" borderId="5" applyNumberFormat="0" applyAlignment="0" applyProtection="0"/>
    <xf numFmtId="16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2" fontId="0" fillId="0" borderId="0" applyFill="0" applyAlignment="0" applyProtection="0"/>
  </cellStyleXfs>
  <cellXfs count="34">
    <xf numFmtId="0" fontId="0" fillId="0" borderId="0" xfId="0" applyAlignment="1">
      <alignment/>
    </xf>
    <xf numFmtId="4" fontId="18" fillId="0" borderId="0" xfId="60" applyNumberFormat="1" applyFont="1" applyFill="1" applyBorder="1" applyAlignment="1" applyProtection="1">
      <alignment vertical="center"/>
      <protection/>
    </xf>
    <xf numFmtId="4" fontId="19" fillId="0" borderId="0" xfId="60" applyNumberFormat="1" applyFont="1" applyFill="1" applyBorder="1" applyAlignment="1" applyProtection="1">
      <alignment vertical="center"/>
      <protection/>
    </xf>
    <xf numFmtId="172" fontId="19" fillId="33" borderId="10" xfId="6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vertical="center"/>
    </xf>
    <xf numFmtId="172" fontId="19" fillId="34" borderId="10" xfId="60" applyFont="1" applyFill="1" applyBorder="1" applyAlignment="1" applyProtection="1">
      <alignment horizontal="center" vertical="center" wrapText="1"/>
      <protection/>
    </xf>
    <xf numFmtId="172" fontId="19" fillId="33" borderId="10" xfId="60" applyFont="1" applyFill="1" applyBorder="1" applyAlignment="1" applyProtection="1">
      <alignment horizontal="center" vertical="center" wrapText="1"/>
      <protection/>
    </xf>
    <xf numFmtId="0" fontId="19" fillId="33" borderId="10" xfId="0" applyFont="1" applyFill="1" applyBorder="1" applyAlignment="1">
      <alignment horizontal="center" vertical="center"/>
    </xf>
    <xf numFmtId="4" fontId="19" fillId="0" borderId="10" xfId="60" applyNumberFormat="1" applyFont="1" applyFill="1" applyBorder="1" applyAlignment="1" applyProtection="1">
      <alignment vertical="center"/>
      <protection/>
    </xf>
    <xf numFmtId="4" fontId="18" fillId="34" borderId="10" xfId="0" applyNumberFormat="1" applyFont="1" applyFill="1" applyBorder="1" applyAlignment="1">
      <alignment vertical="center"/>
    </xf>
    <xf numFmtId="4" fontId="19" fillId="34" borderId="10" xfId="0" applyNumberFormat="1" applyFont="1" applyFill="1" applyBorder="1" applyAlignment="1">
      <alignment vertical="center"/>
    </xf>
    <xf numFmtId="4" fontId="19" fillId="0" borderId="10" xfId="60" applyNumberFormat="1" applyFont="1" applyFill="1" applyBorder="1" applyAlignment="1" applyProtection="1">
      <alignment horizontal="right" vertical="center"/>
      <protection/>
    </xf>
    <xf numFmtId="4" fontId="18" fillId="0" borderId="10" xfId="60" applyNumberFormat="1" applyFont="1" applyFill="1" applyBorder="1" applyAlignment="1" applyProtection="1">
      <alignment vertical="center"/>
      <protection/>
    </xf>
    <xf numFmtId="4" fontId="18" fillId="0" borderId="10" xfId="0" applyNumberFormat="1" applyFont="1" applyBorder="1" applyAlignment="1">
      <alignment vertical="center"/>
    </xf>
    <xf numFmtId="4" fontId="18" fillId="0" borderId="10" xfId="60" applyNumberFormat="1" applyFont="1" applyFill="1" applyBorder="1" applyAlignment="1" applyProtection="1">
      <alignment horizontal="right" vertical="center"/>
      <protection/>
    </xf>
    <xf numFmtId="172" fontId="18" fillId="0" borderId="0" xfId="60" applyFont="1" applyFill="1" applyBorder="1" applyAlignment="1" applyProtection="1">
      <alignment vertical="center"/>
      <protection/>
    </xf>
    <xf numFmtId="10" fontId="19" fillId="0" borderId="10" xfId="49" applyNumberFormat="1" applyFont="1" applyFill="1" applyBorder="1" applyAlignment="1" applyProtection="1">
      <alignment vertical="center"/>
      <protection/>
    </xf>
    <xf numFmtId="10" fontId="19" fillId="34" borderId="10" xfId="49" applyNumberFormat="1" applyFont="1" applyFill="1" applyBorder="1" applyAlignment="1" applyProtection="1">
      <alignment vertical="center"/>
      <protection/>
    </xf>
    <xf numFmtId="10" fontId="19" fillId="0" borderId="0" xfId="49" applyNumberFormat="1" applyFont="1" applyFill="1" applyBorder="1" applyAlignment="1" applyProtection="1">
      <alignment vertical="center"/>
      <protection/>
    </xf>
    <xf numFmtId="10" fontId="18" fillId="0" borderId="10" xfId="49" applyNumberFormat="1" applyFont="1" applyFill="1" applyBorder="1" applyAlignment="1" applyProtection="1">
      <alignment vertical="center"/>
      <protection/>
    </xf>
    <xf numFmtId="10" fontId="18" fillId="34" borderId="10" xfId="49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10" fontId="18" fillId="0" borderId="0" xfId="49" applyNumberFormat="1" applyFont="1" applyFill="1" applyBorder="1" applyAlignment="1" applyProtection="1">
      <alignment vertical="center"/>
      <protection/>
    </xf>
    <xf numFmtId="0" fontId="18" fillId="0" borderId="0" xfId="0" applyFont="1" applyBorder="1" applyAlignment="1">
      <alignment/>
    </xf>
    <xf numFmtId="0" fontId="19" fillId="34" borderId="11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4" fontId="18" fillId="0" borderId="10" xfId="60" applyNumberFormat="1" applyFont="1" applyFill="1" applyBorder="1" applyAlignment="1" applyProtection="1">
      <alignment vertical="center" wrapText="1"/>
      <protection/>
    </xf>
    <xf numFmtId="172" fontId="19" fillId="34" borderId="13" xfId="60" applyFont="1" applyFill="1" applyBorder="1" applyAlignment="1" applyProtection="1">
      <alignment horizontal="center" vertical="center"/>
      <protection/>
    </xf>
    <xf numFmtId="172" fontId="19" fillId="34" borderId="11" xfId="60" applyFont="1" applyFill="1" applyBorder="1" applyAlignment="1" applyProtection="1">
      <alignment horizontal="center" vertical="center"/>
      <protection/>
    </xf>
    <xf numFmtId="172" fontId="19" fillId="34" borderId="12" xfId="60" applyFont="1" applyFill="1" applyBorder="1" applyAlignment="1" applyProtection="1">
      <alignment horizontal="center" vertical="center"/>
      <protection/>
    </xf>
    <xf numFmtId="172" fontId="18" fillId="0" borderId="0" xfId="60" applyFont="1" applyFill="1" applyBorder="1" applyAlignment="1" applyProtection="1">
      <alignment vertical="center"/>
      <protection/>
    </xf>
    <xf numFmtId="172" fontId="19" fillId="34" borderId="10" xfId="60" applyFont="1" applyFill="1" applyBorder="1" applyAlignment="1" applyProtection="1">
      <alignment horizontal="center" vertical="center"/>
      <protection/>
    </xf>
    <xf numFmtId="172" fontId="19" fillId="34" borderId="10" xfId="6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8"/>
  <sheetViews>
    <sheetView tabSelected="1" zoomScale="110" zoomScaleNormal="110" zoomScalePageLayoutView="0"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7" sqref="O7"/>
    </sheetView>
  </sheetViews>
  <sheetFormatPr defaultColWidth="17.421875" defaultRowHeight="12.75"/>
  <cols>
    <col min="1" max="1" width="22.421875" style="23" customWidth="1"/>
    <col min="2" max="19" width="11.00390625" style="23" customWidth="1"/>
    <col min="20" max="20" width="12.00390625" style="23" customWidth="1"/>
    <col min="21" max="22" width="8.8515625" style="23" hidden="1" customWidth="1"/>
    <col min="23" max="16384" width="17.421875" style="23" customWidth="1"/>
  </cols>
  <sheetData>
    <row r="2" spans="1:22" s="4" customFormat="1" ht="12.75" customHeight="1">
      <c r="A2" s="32" t="s">
        <v>0</v>
      </c>
      <c r="B2" s="28" t="s">
        <v>40</v>
      </c>
      <c r="C2" s="29"/>
      <c r="D2" s="29"/>
      <c r="E2" s="29"/>
      <c r="F2" s="29"/>
      <c r="G2" s="29"/>
      <c r="H2" s="29"/>
      <c r="I2" s="29"/>
      <c r="J2" s="29"/>
      <c r="K2" s="28" t="s">
        <v>40</v>
      </c>
      <c r="L2" s="29"/>
      <c r="M2" s="29"/>
      <c r="N2" s="29"/>
      <c r="O2" s="29"/>
      <c r="P2" s="29"/>
      <c r="Q2" s="29"/>
      <c r="R2" s="29"/>
      <c r="S2" s="29"/>
      <c r="T2" s="30"/>
      <c r="U2" s="3"/>
      <c r="V2" s="3"/>
    </row>
    <row r="3" spans="1:22" s="4" customFormat="1" ht="12.75" customHeight="1">
      <c r="A3" s="32"/>
      <c r="B3" s="5" t="s">
        <v>1</v>
      </c>
      <c r="C3" s="5" t="s">
        <v>2</v>
      </c>
      <c r="D3" s="33" t="s">
        <v>3</v>
      </c>
      <c r="E3" s="5" t="s">
        <v>4</v>
      </c>
      <c r="F3" s="5" t="s">
        <v>5</v>
      </c>
      <c r="G3" s="33" t="s">
        <v>6</v>
      </c>
      <c r="H3" s="5" t="s">
        <v>7</v>
      </c>
      <c r="I3" s="5" t="s">
        <v>8</v>
      </c>
      <c r="J3" s="33" t="s">
        <v>9</v>
      </c>
      <c r="K3" s="5" t="s">
        <v>10</v>
      </c>
      <c r="L3" s="5" t="s">
        <v>11</v>
      </c>
      <c r="M3" s="33" t="s">
        <v>12</v>
      </c>
      <c r="N3" s="5" t="s">
        <v>13</v>
      </c>
      <c r="O3" s="5" t="s">
        <v>14</v>
      </c>
      <c r="P3" s="33" t="s">
        <v>15</v>
      </c>
      <c r="Q3" s="5" t="s">
        <v>16</v>
      </c>
      <c r="R3" s="5" t="s">
        <v>17</v>
      </c>
      <c r="S3" s="33" t="s">
        <v>18</v>
      </c>
      <c r="T3" s="26" t="s">
        <v>19</v>
      </c>
      <c r="U3" s="24"/>
      <c r="V3" s="25"/>
    </row>
    <row r="4" spans="1:22" s="4" customFormat="1" ht="12.75" customHeight="1">
      <c r="A4" s="32"/>
      <c r="B4" s="6" t="s">
        <v>42</v>
      </c>
      <c r="C4" s="6" t="s">
        <v>42</v>
      </c>
      <c r="D4" s="33"/>
      <c r="E4" s="6" t="s">
        <v>42</v>
      </c>
      <c r="F4" s="6" t="s">
        <v>42</v>
      </c>
      <c r="G4" s="33"/>
      <c r="H4" s="6" t="s">
        <v>42</v>
      </c>
      <c r="I4" s="6" t="s">
        <v>42</v>
      </c>
      <c r="J4" s="33"/>
      <c r="K4" s="6" t="s">
        <v>42</v>
      </c>
      <c r="L4" s="6" t="s">
        <v>42</v>
      </c>
      <c r="M4" s="33"/>
      <c r="N4" s="6" t="s">
        <v>42</v>
      </c>
      <c r="O4" s="6" t="s">
        <v>42</v>
      </c>
      <c r="P4" s="33"/>
      <c r="Q4" s="6" t="s">
        <v>20</v>
      </c>
      <c r="R4" s="6" t="s">
        <v>20</v>
      </c>
      <c r="S4" s="33"/>
      <c r="T4" s="6" t="s">
        <v>20</v>
      </c>
      <c r="U4" s="6" t="s">
        <v>21</v>
      </c>
      <c r="V4" s="7" t="s">
        <v>22</v>
      </c>
    </row>
    <row r="5" spans="1:22" s="2" customFormat="1" ht="18" customHeight="1">
      <c r="A5" s="8" t="s">
        <v>23</v>
      </c>
      <c r="B5" s="8">
        <f aca="true" t="shared" si="0" ref="B5:S5">SUM(B6+B7+B8+B9+B10+B11+B12)</f>
        <v>65923991.690000005</v>
      </c>
      <c r="C5" s="8">
        <f t="shared" si="0"/>
        <v>57488378.510000005</v>
      </c>
      <c r="D5" s="9">
        <f t="shared" si="0"/>
        <v>123412370.2</v>
      </c>
      <c r="E5" s="8">
        <f t="shared" si="0"/>
        <v>44733477.519999996</v>
      </c>
      <c r="F5" s="8">
        <f t="shared" si="0"/>
        <v>57266151.79</v>
      </c>
      <c r="G5" s="10">
        <f t="shared" si="0"/>
        <v>101999629.31</v>
      </c>
      <c r="H5" s="8">
        <f t="shared" si="0"/>
        <v>49582050.70999999</v>
      </c>
      <c r="I5" s="8">
        <f t="shared" si="0"/>
        <v>43669722.54</v>
      </c>
      <c r="J5" s="10">
        <f t="shared" si="0"/>
        <v>93251773.25</v>
      </c>
      <c r="K5" s="8">
        <f t="shared" si="0"/>
        <v>49793527.15</v>
      </c>
      <c r="L5" s="8">
        <f t="shared" si="0"/>
        <v>42920932.01</v>
      </c>
      <c r="M5" s="10">
        <f t="shared" si="0"/>
        <v>92714459.16</v>
      </c>
      <c r="N5" s="8">
        <f>SUM(N6:N12)</f>
        <v>42713118.849999994</v>
      </c>
      <c r="O5" s="8">
        <f t="shared" si="0"/>
        <v>46551574.47</v>
      </c>
      <c r="P5" s="10">
        <f t="shared" si="0"/>
        <v>89264693.32000001</v>
      </c>
      <c r="Q5" s="8">
        <f t="shared" si="0"/>
        <v>58955124.199999996</v>
      </c>
      <c r="R5" s="8">
        <f t="shared" si="0"/>
        <v>72800572.29</v>
      </c>
      <c r="S5" s="10">
        <f t="shared" si="0"/>
        <v>131755696.49000001</v>
      </c>
      <c r="T5" s="8">
        <f>SUM(T6+T7+T8+T9+T10+T11+T12)</f>
        <v>632398621.7299999</v>
      </c>
      <c r="U5" s="8">
        <f>SUM(U6:U12)</f>
        <v>1133041546.9699998</v>
      </c>
      <c r="V5" s="11">
        <f aca="true" t="shared" si="1" ref="V5:V20">U5-T5</f>
        <v>500642925.2399999</v>
      </c>
    </row>
    <row r="6" spans="1:22" s="1" customFormat="1" ht="24.75" customHeight="1">
      <c r="A6" s="27" t="s">
        <v>39</v>
      </c>
      <c r="B6" s="13">
        <f>27819687.72-51972.71</f>
        <v>27767715.009999998</v>
      </c>
      <c r="C6" s="13">
        <f>26888356.43-66243.32-300.02</f>
        <v>26821813.09</v>
      </c>
      <c r="D6" s="9">
        <f aca="true" t="shared" si="2" ref="D6:D12">SUM(B6:C6)</f>
        <v>54589528.099999994</v>
      </c>
      <c r="E6" s="13">
        <f>13285562.78-60347.42-253.28</f>
        <v>13224962.08</v>
      </c>
      <c r="F6" s="13">
        <f>15505386.44-6315.16</f>
        <v>15499071.28</v>
      </c>
      <c r="G6" s="9">
        <f aca="true" t="shared" si="3" ref="G6:G12">SUM(E6:F6)</f>
        <v>28724033.36</v>
      </c>
      <c r="H6" s="13">
        <f>15383896.89-72293.99-341.75</f>
        <v>15311261.15</v>
      </c>
      <c r="I6" s="13">
        <f>14489337.24-10219.86-22.59</f>
        <v>14479094.790000001</v>
      </c>
      <c r="J6" s="9">
        <f aca="true" t="shared" si="4" ref="J6:J12">SUM(H6:I6)</f>
        <v>29790355.94</v>
      </c>
      <c r="K6" s="13">
        <f>15880909.84-65010.29-81.4</f>
        <v>15815818.15</v>
      </c>
      <c r="L6" s="13">
        <f>14840945.37-10549.94-1701.59</f>
        <v>14828693.84</v>
      </c>
      <c r="M6" s="9">
        <f aca="true" t="shared" si="5" ref="M6:M12">SUM(K6:L6)</f>
        <v>30644511.990000002</v>
      </c>
      <c r="N6" s="13">
        <f>15353698.93-20207.36</f>
        <v>15333491.57</v>
      </c>
      <c r="O6" s="13">
        <f>15291697.07-22657.71-186.46-0.03</f>
        <v>15268852.87</v>
      </c>
      <c r="P6" s="9">
        <f aca="true" t="shared" si="6" ref="P6:P12">SUM(N6:O6)</f>
        <v>30602344.439999998</v>
      </c>
      <c r="Q6" s="13">
        <v>20150326.13</v>
      </c>
      <c r="R6" s="13">
        <v>24882574.57</v>
      </c>
      <c r="S6" s="9">
        <f aca="true" t="shared" si="7" ref="S6:S11">SUM(Q6:R6)</f>
        <v>45032900.7</v>
      </c>
      <c r="T6" s="12">
        <f aca="true" t="shared" si="8" ref="T6:T12">D6+G6+J6+M6+P6+S6</f>
        <v>219383674.52999997</v>
      </c>
      <c r="U6" s="12">
        <f aca="true" t="shared" si="9" ref="U6:U20">SUM(B6:R6)</f>
        <v>393734448.35999995</v>
      </c>
      <c r="V6" s="14">
        <f t="shared" si="1"/>
        <v>174350773.82999998</v>
      </c>
    </row>
    <row r="7" spans="1:22" s="1" customFormat="1" ht="12.75" customHeight="1">
      <c r="A7" s="27" t="s">
        <v>24</v>
      </c>
      <c r="B7" s="13">
        <v>797529.68</v>
      </c>
      <c r="C7" s="13">
        <v>782668.52</v>
      </c>
      <c r="D7" s="9">
        <f t="shared" si="2"/>
        <v>1580198.2000000002</v>
      </c>
      <c r="E7" s="13">
        <f>724717.27-6.82</f>
        <v>724710.4500000001</v>
      </c>
      <c r="F7" s="13">
        <v>746375.86</v>
      </c>
      <c r="G7" s="9">
        <f t="shared" si="3"/>
        <v>1471086.31</v>
      </c>
      <c r="H7" s="13">
        <f>709451.69</f>
        <v>709451.69</v>
      </c>
      <c r="I7" s="13">
        <f>656145.25-39199.5</f>
        <v>616945.75</v>
      </c>
      <c r="J7" s="9">
        <f t="shared" si="4"/>
        <v>1326397.44</v>
      </c>
      <c r="K7" s="13">
        <v>637994.02</v>
      </c>
      <c r="L7" s="13">
        <f>631154.45-33.08</f>
        <v>631121.37</v>
      </c>
      <c r="M7" s="9">
        <f t="shared" si="5"/>
        <v>1269115.3900000001</v>
      </c>
      <c r="N7" s="13">
        <v>656868.5</v>
      </c>
      <c r="O7" s="13">
        <f>603146.15-105.88</f>
        <v>603040.27</v>
      </c>
      <c r="P7" s="9">
        <f t="shared" si="6"/>
        <v>1259908.77</v>
      </c>
      <c r="Q7" s="13">
        <v>853414.57</v>
      </c>
      <c r="R7" s="13">
        <v>1053836.61</v>
      </c>
      <c r="S7" s="9">
        <f t="shared" si="7"/>
        <v>1907251.1800000002</v>
      </c>
      <c r="T7" s="12">
        <f t="shared" si="8"/>
        <v>8813957.29</v>
      </c>
      <c r="U7" s="12">
        <f t="shared" si="9"/>
        <v>15720663.399999999</v>
      </c>
      <c r="V7" s="14">
        <f t="shared" si="1"/>
        <v>6906706.109999999</v>
      </c>
    </row>
    <row r="8" spans="1:22" s="1" customFormat="1" ht="12.75" customHeight="1">
      <c r="A8" s="12" t="s">
        <v>25</v>
      </c>
      <c r="B8" s="13">
        <f>715430.89-260.05</f>
        <v>715170.84</v>
      </c>
      <c r="C8" s="13">
        <f>611636.03-1021.45</f>
        <v>610614.5800000001</v>
      </c>
      <c r="D8" s="9">
        <f t="shared" si="2"/>
        <v>1325785.42</v>
      </c>
      <c r="E8" s="13">
        <f>722466.45-11708.18</f>
        <v>710758.2699999999</v>
      </c>
      <c r="F8" s="13">
        <f>762527.58-2100.36-309.88</f>
        <v>760117.34</v>
      </c>
      <c r="G8" s="9">
        <f t="shared" si="3"/>
        <v>1470875.6099999999</v>
      </c>
      <c r="H8" s="13">
        <f>919305.61-34131.87-1174.35</f>
        <v>883999.39</v>
      </c>
      <c r="I8" s="13">
        <f>919976.22</f>
        <v>919976.22</v>
      </c>
      <c r="J8" s="9">
        <f t="shared" si="4"/>
        <v>1803975.6099999999</v>
      </c>
      <c r="K8" s="13">
        <f>838411.46-182.51+182.31</f>
        <v>838411.26</v>
      </c>
      <c r="L8" s="13">
        <f>781422.41-26793.73</f>
        <v>754628.68</v>
      </c>
      <c r="M8" s="9">
        <f t="shared" si="5"/>
        <v>1593039.94</v>
      </c>
      <c r="N8" s="13">
        <f>720913.76-5392.69</f>
        <v>715521.0700000001</v>
      </c>
      <c r="O8" s="13">
        <f>740886.09</f>
        <v>740886.09</v>
      </c>
      <c r="P8" s="9">
        <f t="shared" si="6"/>
        <v>1456407.1600000001</v>
      </c>
      <c r="Q8" s="13">
        <v>679877.24</v>
      </c>
      <c r="R8" s="13">
        <v>839544.62</v>
      </c>
      <c r="S8" s="9">
        <f t="shared" si="7"/>
        <v>1519421.8599999999</v>
      </c>
      <c r="T8" s="12">
        <f t="shared" si="8"/>
        <v>9169505.6</v>
      </c>
      <c r="U8" s="12">
        <f t="shared" si="9"/>
        <v>16819589.34</v>
      </c>
      <c r="V8" s="14">
        <f t="shared" si="1"/>
        <v>7650083.74</v>
      </c>
    </row>
    <row r="9" spans="1:22" s="1" customFormat="1" ht="18.75" customHeight="1" hidden="1">
      <c r="A9" s="12" t="s">
        <v>26</v>
      </c>
      <c r="B9" s="13">
        <v>0</v>
      </c>
      <c r="C9" s="13"/>
      <c r="D9" s="9">
        <f t="shared" si="2"/>
        <v>0</v>
      </c>
      <c r="E9" s="13"/>
      <c r="F9" s="13"/>
      <c r="G9" s="9">
        <f t="shared" si="3"/>
        <v>0</v>
      </c>
      <c r="H9" s="13"/>
      <c r="I9" s="13"/>
      <c r="J9" s="9">
        <f t="shared" si="4"/>
        <v>0</v>
      </c>
      <c r="K9" s="13"/>
      <c r="L9" s="13"/>
      <c r="M9" s="9">
        <f t="shared" si="5"/>
        <v>0</v>
      </c>
      <c r="N9" s="13"/>
      <c r="O9" s="13"/>
      <c r="P9" s="9">
        <f t="shared" si="6"/>
        <v>0</v>
      </c>
      <c r="Q9" s="13"/>
      <c r="R9" s="13"/>
      <c r="S9" s="9">
        <f t="shared" si="7"/>
        <v>0</v>
      </c>
      <c r="T9" s="12">
        <f t="shared" si="8"/>
        <v>0</v>
      </c>
      <c r="U9" s="12">
        <f t="shared" si="9"/>
        <v>0</v>
      </c>
      <c r="V9" s="14">
        <f t="shared" si="1"/>
        <v>0</v>
      </c>
    </row>
    <row r="10" spans="1:22" s="1" customFormat="1" ht="12.75" customHeight="1">
      <c r="A10" s="12" t="s">
        <v>27</v>
      </c>
      <c r="B10" s="13"/>
      <c r="C10" s="13">
        <v>113.17</v>
      </c>
      <c r="D10" s="9">
        <f t="shared" si="2"/>
        <v>113.17</v>
      </c>
      <c r="E10" s="13">
        <v>54.42</v>
      </c>
      <c r="F10" s="13">
        <v>54.25</v>
      </c>
      <c r="G10" s="9">
        <f t="shared" si="3"/>
        <v>108.67</v>
      </c>
      <c r="H10" s="13">
        <v>54.08</v>
      </c>
      <c r="I10" s="13">
        <v>0</v>
      </c>
      <c r="J10" s="9">
        <f t="shared" si="4"/>
        <v>54.08</v>
      </c>
      <c r="K10" s="13"/>
      <c r="L10" s="13">
        <v>0</v>
      </c>
      <c r="M10" s="9">
        <f t="shared" si="5"/>
        <v>0</v>
      </c>
      <c r="N10" s="13">
        <v>0</v>
      </c>
      <c r="O10" s="13">
        <v>0</v>
      </c>
      <c r="P10" s="9">
        <f t="shared" si="6"/>
        <v>0</v>
      </c>
      <c r="Q10" s="13"/>
      <c r="R10" s="13"/>
      <c r="S10" s="9">
        <f>SUM(Q10:R10)</f>
        <v>0</v>
      </c>
      <c r="T10" s="12">
        <f>D10+G10+J10+M10+P10+S10</f>
        <v>275.92</v>
      </c>
      <c r="U10" s="12">
        <f t="shared" si="9"/>
        <v>551.84</v>
      </c>
      <c r="V10" s="14">
        <f t="shared" si="1"/>
        <v>275.92</v>
      </c>
    </row>
    <row r="11" spans="1:22" s="1" customFormat="1" ht="12.75" customHeight="1">
      <c r="A11" s="12" t="s">
        <v>28</v>
      </c>
      <c r="B11" s="13">
        <v>36297433.7</v>
      </c>
      <c r="C11" s="13">
        <v>28932251.76</v>
      </c>
      <c r="D11" s="9">
        <f t="shared" si="2"/>
        <v>65229685.46000001</v>
      </c>
      <c r="E11" s="13">
        <v>29680675.77</v>
      </c>
      <c r="F11" s="13">
        <v>39595791.79</v>
      </c>
      <c r="G11" s="9">
        <f t="shared" si="3"/>
        <v>69276467.56</v>
      </c>
      <c r="H11" s="13">
        <f>32130705.15</f>
        <v>32130705.15</v>
      </c>
      <c r="I11" s="13">
        <f>27206118.71</f>
        <v>27206118.71</v>
      </c>
      <c r="J11" s="9">
        <f t="shared" si="4"/>
        <v>59336823.86</v>
      </c>
      <c r="K11" s="13">
        <f>32033417.78-4.91</f>
        <v>32033412.87</v>
      </c>
      <c r="L11" s="13">
        <v>26317162.87</v>
      </c>
      <c r="M11" s="9">
        <f t="shared" si="5"/>
        <v>58350575.74</v>
      </c>
      <c r="N11" s="13">
        <f>25683195.38</f>
        <v>25683195.38</v>
      </c>
      <c r="O11" s="13">
        <v>29550195.68</v>
      </c>
      <c r="P11" s="9">
        <f t="shared" si="6"/>
        <v>55233391.06</v>
      </c>
      <c r="Q11" s="13">
        <v>36857906.26</v>
      </c>
      <c r="R11" s="13">
        <v>45513883.68</v>
      </c>
      <c r="S11" s="9">
        <f t="shared" si="7"/>
        <v>82371789.94</v>
      </c>
      <c r="T11" s="12">
        <f t="shared" si="8"/>
        <v>389798733.62</v>
      </c>
      <c r="U11" s="12">
        <f t="shared" si="9"/>
        <v>697225677.2999998</v>
      </c>
      <c r="V11" s="14">
        <f t="shared" si="1"/>
        <v>307426943.6799998</v>
      </c>
    </row>
    <row r="12" spans="1:22" s="1" customFormat="1" ht="12.75" customHeight="1">
      <c r="A12" s="12" t="s">
        <v>29</v>
      </c>
      <c r="B12" s="13">
        <f>346467.73-325.27</f>
        <v>346142.45999999996</v>
      </c>
      <c r="C12" s="13">
        <f>341273.83-356.44</f>
        <v>340917.39</v>
      </c>
      <c r="D12" s="9">
        <f t="shared" si="2"/>
        <v>687059.85</v>
      </c>
      <c r="E12" s="13">
        <f>393403.94-1087.41</f>
        <v>392316.53</v>
      </c>
      <c r="F12" s="13">
        <f>667088.53-2347.26</f>
        <v>664741.27</v>
      </c>
      <c r="G12" s="9">
        <f t="shared" si="3"/>
        <v>1057057.8</v>
      </c>
      <c r="H12" s="13">
        <f>548709.04-2129.79</f>
        <v>546579.25</v>
      </c>
      <c r="I12" s="13">
        <f>448703.74-1116.67</f>
        <v>447587.07</v>
      </c>
      <c r="J12" s="9">
        <f t="shared" si="4"/>
        <v>994166.3200000001</v>
      </c>
      <c r="K12" s="13">
        <f>468851.35-960.49-0.01</f>
        <v>467890.85</v>
      </c>
      <c r="L12" s="13">
        <f>390177.56-852.31</f>
        <v>389325.25</v>
      </c>
      <c r="M12" s="9">
        <f t="shared" si="5"/>
        <v>857216.1</v>
      </c>
      <c r="N12" s="13">
        <f>326136.14-2093.82+0.01</f>
        <v>324042.33</v>
      </c>
      <c r="O12" s="13">
        <v>388599.56</v>
      </c>
      <c r="P12" s="9">
        <f t="shared" si="6"/>
        <v>712641.89</v>
      </c>
      <c r="Q12" s="13">
        <v>413600</v>
      </c>
      <c r="R12" s="13">
        <v>510732.81</v>
      </c>
      <c r="S12" s="9">
        <f>SUM(Q12:R12)</f>
        <v>924332.81</v>
      </c>
      <c r="T12" s="12">
        <f t="shared" si="8"/>
        <v>5232474.77</v>
      </c>
      <c r="U12" s="12">
        <f t="shared" si="9"/>
        <v>9540616.73</v>
      </c>
      <c r="V12" s="14">
        <f t="shared" si="1"/>
        <v>4308141.960000001</v>
      </c>
    </row>
    <row r="13" spans="1:22" s="1" customFormat="1" ht="12.75" customHeight="1">
      <c r="A13" s="8" t="s">
        <v>30</v>
      </c>
      <c r="B13" s="8">
        <f>B15+B16+B14+B17</f>
        <v>4884212.44</v>
      </c>
      <c r="C13" s="8">
        <f>C15+C16+C14+C17+C18</f>
        <v>4646593.09</v>
      </c>
      <c r="D13" s="10">
        <f>D15+D16+D14+D17</f>
        <v>9530805.530000001</v>
      </c>
      <c r="E13" s="8">
        <f>E15+E16+E14+E17</f>
        <v>4887419.53</v>
      </c>
      <c r="F13" s="8">
        <f aca="true" t="shared" si="10" ref="F13:L13">F15+F16+F14+F17+F18</f>
        <v>4578270.19</v>
      </c>
      <c r="G13" s="10">
        <f t="shared" si="10"/>
        <v>9465689.72</v>
      </c>
      <c r="H13" s="8">
        <f t="shared" si="10"/>
        <v>5687482.98</v>
      </c>
      <c r="I13" s="8">
        <f t="shared" si="10"/>
        <v>556858.4299999999</v>
      </c>
      <c r="J13" s="10">
        <f>J15+J16+J14+J17+J18</f>
        <v>6244341.41</v>
      </c>
      <c r="K13" s="8">
        <f t="shared" si="10"/>
        <v>623792.5700000001</v>
      </c>
      <c r="L13" s="8">
        <f t="shared" si="10"/>
        <v>478379.4</v>
      </c>
      <c r="M13" s="10">
        <f>M15+M16+M14+M17</f>
        <v>1102171.97</v>
      </c>
      <c r="N13" s="8">
        <f>SUM(N14:N17)</f>
        <v>404721.00999999995</v>
      </c>
      <c r="O13" s="8">
        <f>O15+O16+O14+O17</f>
        <v>269829.82</v>
      </c>
      <c r="P13" s="10">
        <f>P15+P16+P14+P17</f>
        <v>674550.8300000001</v>
      </c>
      <c r="Q13" s="8">
        <f>Q15+Q16+Q14+Q17</f>
        <v>5827384.27</v>
      </c>
      <c r="R13" s="8">
        <f>R15+R16+R14+R17</f>
        <v>7195929.36</v>
      </c>
      <c r="S13" s="10">
        <f>S15+S16+S14+S17</f>
        <v>13023313.63</v>
      </c>
      <c r="T13" s="8">
        <f>T15+T16+T14+T17+T18</f>
        <v>40040873.09</v>
      </c>
      <c r="U13" s="8">
        <f t="shared" si="9"/>
        <v>67058432.55</v>
      </c>
      <c r="V13" s="11">
        <f t="shared" si="1"/>
        <v>27017559.459999993</v>
      </c>
    </row>
    <row r="14" spans="1:22" s="1" customFormat="1" ht="12.75" customHeight="1">
      <c r="A14" s="12" t="s">
        <v>31</v>
      </c>
      <c r="B14" s="12">
        <v>0</v>
      </c>
      <c r="C14" s="14">
        <v>65498.43</v>
      </c>
      <c r="D14" s="9">
        <f aca="true" t="shared" si="11" ref="D14:D20">SUM(B14:C14)</f>
        <v>65498.43</v>
      </c>
      <c r="E14" s="12">
        <v>180014.84</v>
      </c>
      <c r="F14" s="12">
        <v>0</v>
      </c>
      <c r="G14" s="9">
        <f aca="true" t="shared" si="12" ref="G14:G20">SUM(E14:F14)</f>
        <v>180014.84</v>
      </c>
      <c r="H14" s="12">
        <v>5600000</v>
      </c>
      <c r="I14" s="12">
        <v>303606.24</v>
      </c>
      <c r="J14" s="9">
        <f aca="true" t="shared" si="13" ref="J14:J20">SUM(H14:I14)</f>
        <v>5903606.24</v>
      </c>
      <c r="K14" s="12">
        <v>0</v>
      </c>
      <c r="L14" s="12">
        <v>181799.66</v>
      </c>
      <c r="M14" s="9">
        <f aca="true" t="shared" si="14" ref="M14:M20">SUM(K14:L14)</f>
        <v>181799.66</v>
      </c>
      <c r="N14" s="12">
        <v>256188.55</v>
      </c>
      <c r="O14" s="12">
        <v>0</v>
      </c>
      <c r="P14" s="9">
        <f aca="true" t="shared" si="15" ref="P14:P20">SUM(N14:O14)</f>
        <v>256188.55</v>
      </c>
      <c r="Q14" s="12">
        <v>892510.4</v>
      </c>
      <c r="R14" s="12">
        <v>1102114</v>
      </c>
      <c r="S14" s="9">
        <f aca="true" t="shared" si="16" ref="S14:S21">SUM(Q14:R14)</f>
        <v>1994624.4</v>
      </c>
      <c r="T14" s="12">
        <f aca="true" t="shared" si="17" ref="T14:T20">D14+G14+J14+M14+P14+S14</f>
        <v>8581732.12</v>
      </c>
      <c r="U14" s="12">
        <f t="shared" si="9"/>
        <v>15168839.840000002</v>
      </c>
      <c r="V14" s="14">
        <f t="shared" si="1"/>
        <v>6587107.7200000025</v>
      </c>
    </row>
    <row r="15" spans="1:22" s="1" customFormat="1" ht="12.75" customHeight="1">
      <c r="A15" s="12" t="s">
        <v>32</v>
      </c>
      <c r="B15" s="12">
        <v>14144.97</v>
      </c>
      <c r="C15" s="14">
        <v>12520.27</v>
      </c>
      <c r="D15" s="9">
        <f t="shared" si="11"/>
        <v>26665.239999999998</v>
      </c>
      <c r="E15" s="12">
        <v>7319.31</v>
      </c>
      <c r="F15" s="12">
        <v>8113.23</v>
      </c>
      <c r="G15" s="9">
        <f t="shared" si="12"/>
        <v>15432.54</v>
      </c>
      <c r="H15" s="12">
        <v>3775.31</v>
      </c>
      <c r="I15" s="12">
        <v>7620.55</v>
      </c>
      <c r="J15" s="9">
        <f t="shared" si="13"/>
        <v>11395.86</v>
      </c>
      <c r="K15" s="12">
        <v>99666.77</v>
      </c>
      <c r="L15" s="12">
        <f>8421.83-179.33</f>
        <v>8242.5</v>
      </c>
      <c r="M15" s="9">
        <f t="shared" si="14"/>
        <v>107909.27</v>
      </c>
      <c r="N15" s="12">
        <v>8047.17</v>
      </c>
      <c r="O15" s="12">
        <v>3705.97</v>
      </c>
      <c r="P15" s="9">
        <f t="shared" si="15"/>
        <v>11753.14</v>
      </c>
      <c r="Q15" s="12">
        <v>1654345.64</v>
      </c>
      <c r="R15" s="12">
        <v>2042864.14</v>
      </c>
      <c r="S15" s="9">
        <f t="shared" si="16"/>
        <v>3697209.78</v>
      </c>
      <c r="T15" s="12">
        <f t="shared" si="17"/>
        <v>3870365.8299999996</v>
      </c>
      <c r="U15" s="12">
        <f t="shared" si="9"/>
        <v>4043521.88</v>
      </c>
      <c r="V15" s="14">
        <f t="shared" si="1"/>
        <v>173156.05000000028</v>
      </c>
    </row>
    <row r="16" spans="1:22" s="1" customFormat="1" ht="12.75" customHeight="1">
      <c r="A16" s="12" t="s">
        <v>33</v>
      </c>
      <c r="B16" s="12">
        <v>67.47</v>
      </c>
      <c r="C16" s="12">
        <v>165.84</v>
      </c>
      <c r="D16" s="9">
        <f t="shared" si="11"/>
        <v>233.31</v>
      </c>
      <c r="E16" s="12">
        <v>165.38</v>
      </c>
      <c r="F16" s="12">
        <v>2656.96</v>
      </c>
      <c r="G16" s="9">
        <f t="shared" si="12"/>
        <v>2822.34</v>
      </c>
      <c r="H16" s="12">
        <v>3407.47</v>
      </c>
      <c r="I16" s="12">
        <v>164.01</v>
      </c>
      <c r="J16" s="9">
        <f t="shared" si="13"/>
        <v>3571.4799999999996</v>
      </c>
      <c r="K16" s="12">
        <v>5534.8</v>
      </c>
      <c r="L16" s="12">
        <v>3807.26</v>
      </c>
      <c r="M16" s="9">
        <f t="shared" si="14"/>
        <v>9342.060000000001</v>
      </c>
      <c r="N16" s="12">
        <v>3501.66</v>
      </c>
      <c r="O16" s="12">
        <v>6525.35</v>
      </c>
      <c r="P16" s="9">
        <f t="shared" si="15"/>
        <v>10027.01</v>
      </c>
      <c r="Q16" s="12">
        <v>2173.07</v>
      </c>
      <c r="R16" s="12">
        <v>2683.41</v>
      </c>
      <c r="S16" s="9">
        <f t="shared" si="16"/>
        <v>4856.48</v>
      </c>
      <c r="T16" s="12">
        <f t="shared" si="17"/>
        <v>30852.68</v>
      </c>
      <c r="U16" s="12">
        <f t="shared" si="9"/>
        <v>56848.880000000005</v>
      </c>
      <c r="V16" s="14">
        <f t="shared" si="1"/>
        <v>25996.200000000004</v>
      </c>
    </row>
    <row r="17" spans="1:22" s="1" customFormat="1" ht="12.75" customHeight="1">
      <c r="A17" s="12" t="s">
        <v>34</v>
      </c>
      <c r="B17" s="12">
        <v>4870000</v>
      </c>
      <c r="C17" s="12">
        <v>4568408.55</v>
      </c>
      <c r="D17" s="9">
        <f t="shared" si="11"/>
        <v>9438408.55</v>
      </c>
      <c r="E17" s="12">
        <v>4699920</v>
      </c>
      <c r="F17" s="12">
        <v>4567500</v>
      </c>
      <c r="G17" s="9">
        <f t="shared" si="12"/>
        <v>9267420</v>
      </c>
      <c r="H17" s="12">
        <v>80300.2</v>
      </c>
      <c r="I17" s="12">
        <v>245467.63</v>
      </c>
      <c r="J17" s="9">
        <f t="shared" si="13"/>
        <v>325767.83</v>
      </c>
      <c r="K17" s="12">
        <v>518591</v>
      </c>
      <c r="L17" s="12">
        <v>284529.98</v>
      </c>
      <c r="M17" s="9">
        <f t="shared" si="14"/>
        <v>803120.98</v>
      </c>
      <c r="N17" s="12">
        <f>174189.63-37206</f>
        <v>136983.63</v>
      </c>
      <c r="O17" s="12">
        <v>259598.5</v>
      </c>
      <c r="P17" s="9">
        <f t="shared" si="15"/>
        <v>396582.13</v>
      </c>
      <c r="Q17" s="12">
        <f>5827384.27-2549029.11</f>
        <v>3278355.1599999997</v>
      </c>
      <c r="R17" s="12">
        <f>7195929.36-3147661.55</f>
        <v>4048267.8100000005</v>
      </c>
      <c r="S17" s="9">
        <f t="shared" si="16"/>
        <v>7326622.970000001</v>
      </c>
      <c r="T17" s="12">
        <f>D17+G17+J17+M17+P17+S17</f>
        <v>27557922.46</v>
      </c>
      <c r="U17" s="12">
        <f t="shared" si="9"/>
        <v>47789221.95</v>
      </c>
      <c r="V17" s="14">
        <f t="shared" si="1"/>
        <v>20231299.490000002</v>
      </c>
    </row>
    <row r="18" spans="1:22" s="1" customFormat="1" ht="18.75" customHeight="1" hidden="1">
      <c r="A18" s="12" t="s">
        <v>38</v>
      </c>
      <c r="B18" s="12">
        <v>0</v>
      </c>
      <c r="C18" s="12">
        <v>0</v>
      </c>
      <c r="D18" s="9">
        <f t="shared" si="11"/>
        <v>0</v>
      </c>
      <c r="E18" s="12">
        <v>0</v>
      </c>
      <c r="F18" s="12">
        <v>0</v>
      </c>
      <c r="G18" s="9">
        <f t="shared" si="12"/>
        <v>0</v>
      </c>
      <c r="H18" s="12">
        <v>0</v>
      </c>
      <c r="I18" s="12">
        <v>0</v>
      </c>
      <c r="J18" s="9">
        <f t="shared" si="13"/>
        <v>0</v>
      </c>
      <c r="K18" s="12">
        <v>0</v>
      </c>
      <c r="L18" s="12">
        <v>0</v>
      </c>
      <c r="M18" s="9">
        <f t="shared" si="14"/>
        <v>0</v>
      </c>
      <c r="N18" s="12"/>
      <c r="O18" s="12">
        <v>0</v>
      </c>
      <c r="P18" s="9">
        <f t="shared" si="15"/>
        <v>0</v>
      </c>
      <c r="Q18" s="12">
        <v>0</v>
      </c>
      <c r="R18" s="12">
        <v>0</v>
      </c>
      <c r="S18" s="9">
        <f t="shared" si="16"/>
        <v>0</v>
      </c>
      <c r="T18" s="12">
        <f>D18+G18+J18+M18+P18+S18</f>
        <v>0</v>
      </c>
      <c r="U18" s="12"/>
      <c r="V18" s="14"/>
    </row>
    <row r="19" spans="1:22" s="1" customFormat="1" ht="12.75" customHeight="1">
      <c r="A19" s="12" t="s">
        <v>36</v>
      </c>
      <c r="B19" s="12">
        <v>4734613.54</v>
      </c>
      <c r="C19" s="12">
        <v>3531942.16</v>
      </c>
      <c r="D19" s="9">
        <f t="shared" si="11"/>
        <v>8266555.7</v>
      </c>
      <c r="E19" s="12">
        <v>3406581.15</v>
      </c>
      <c r="F19" s="12">
        <v>5180680.49</v>
      </c>
      <c r="G19" s="9">
        <f t="shared" si="12"/>
        <v>8587261.64</v>
      </c>
      <c r="H19" s="12">
        <v>3675980.32</v>
      </c>
      <c r="I19" s="12">
        <v>3058302.63</v>
      </c>
      <c r="J19" s="9">
        <f t="shared" si="13"/>
        <v>6734282.949999999</v>
      </c>
      <c r="K19" s="12">
        <v>3072239.91</v>
      </c>
      <c r="L19" s="12">
        <v>2759309.93</v>
      </c>
      <c r="M19" s="9">
        <f t="shared" si="14"/>
        <v>5831549.84</v>
      </c>
      <c r="N19" s="12">
        <v>2760355.96</v>
      </c>
      <c r="O19" s="12">
        <v>3114671.42</v>
      </c>
      <c r="P19" s="9">
        <f t="shared" si="15"/>
        <v>5875027.38</v>
      </c>
      <c r="Q19" s="12">
        <v>4055159.81</v>
      </c>
      <c r="R19" s="12">
        <v>5007502.89</v>
      </c>
      <c r="S19" s="9">
        <f t="shared" si="16"/>
        <v>9062662.7</v>
      </c>
      <c r="T19" s="12">
        <f t="shared" si="17"/>
        <v>44357340.20999999</v>
      </c>
      <c r="U19" s="12">
        <f t="shared" si="9"/>
        <v>79652017.72</v>
      </c>
      <c r="V19" s="14">
        <f t="shared" si="1"/>
        <v>35294677.510000005</v>
      </c>
    </row>
    <row r="20" spans="1:22" s="1" customFormat="1" ht="12.75" customHeight="1">
      <c r="A20" s="12" t="s">
        <v>37</v>
      </c>
      <c r="B20" s="12">
        <f>605537.93+1025973.2</f>
        <v>1631511.13</v>
      </c>
      <c r="C20" s="12">
        <f>-1261.83+831705.67</f>
        <v>830443.8400000001</v>
      </c>
      <c r="D20" s="9">
        <f t="shared" si="11"/>
        <v>2461954.9699999997</v>
      </c>
      <c r="E20" s="12">
        <v>54967.83</v>
      </c>
      <c r="F20" s="12">
        <v>87124.62</v>
      </c>
      <c r="G20" s="9">
        <f t="shared" si="12"/>
        <v>142092.45</v>
      </c>
      <c r="H20" s="12">
        <v>104448.88</v>
      </c>
      <c r="I20" s="12">
        <v>74811.99</v>
      </c>
      <c r="J20" s="9">
        <f t="shared" si="13"/>
        <v>179260.87</v>
      </c>
      <c r="K20" s="12">
        <f>61050.74</f>
        <v>61050.74</v>
      </c>
      <c r="L20" s="12">
        <v>50104.21</v>
      </c>
      <c r="M20" s="9">
        <f t="shared" si="14"/>
        <v>111154.95</v>
      </c>
      <c r="N20" s="12">
        <v>195499.47</v>
      </c>
      <c r="O20" s="12">
        <v>47210.79</v>
      </c>
      <c r="P20" s="9">
        <f t="shared" si="15"/>
        <v>242710.26</v>
      </c>
      <c r="Q20" s="12">
        <f>5333554.85-Q19</f>
        <v>1278395.0399999996</v>
      </c>
      <c r="R20" s="12">
        <f>6586125.46-R19</f>
        <v>1578622.5700000003</v>
      </c>
      <c r="S20" s="9">
        <f t="shared" si="16"/>
        <v>2857017.61</v>
      </c>
      <c r="T20" s="12">
        <f t="shared" si="17"/>
        <v>5994191.109999999</v>
      </c>
      <c r="U20" s="12">
        <f t="shared" si="9"/>
        <v>9131364.61</v>
      </c>
      <c r="V20" s="14">
        <f t="shared" si="1"/>
        <v>3137173.5</v>
      </c>
    </row>
    <row r="21" spans="1:24" s="2" customFormat="1" ht="12.75" customHeight="1">
      <c r="A21" s="8" t="s">
        <v>19</v>
      </c>
      <c r="B21" s="8">
        <f>B5+B13-B19-B20</f>
        <v>64442079.46000001</v>
      </c>
      <c r="C21" s="8">
        <f>C5+C13-C19-C20</f>
        <v>57772585.60000001</v>
      </c>
      <c r="D21" s="10">
        <f>D5+D13-D19-D20</f>
        <v>122214665.06</v>
      </c>
      <c r="E21" s="8">
        <f>E5+E13-E19-E20</f>
        <v>46159348.07</v>
      </c>
      <c r="F21" s="8">
        <f>F5+F13-F19-F20</f>
        <v>56576616.87</v>
      </c>
      <c r="G21" s="10">
        <f>SUM(E21:F21)</f>
        <v>102735964.94</v>
      </c>
      <c r="H21" s="8">
        <f>H5+H13-H19-H20</f>
        <v>51489104.489999995</v>
      </c>
      <c r="I21" s="8">
        <f>I5+I13-I19-I20</f>
        <v>41093466.349999994</v>
      </c>
      <c r="J21" s="10">
        <f>SUM(H21:I21)</f>
        <v>92582570.83999999</v>
      </c>
      <c r="K21" s="8">
        <f>K5+K13-K19-K20</f>
        <v>47284029.07</v>
      </c>
      <c r="L21" s="8">
        <f>L5+L13-L19-L20</f>
        <v>40589897.269999996</v>
      </c>
      <c r="M21" s="10">
        <f>SUM(K21:L21)</f>
        <v>87873926.34</v>
      </c>
      <c r="N21" s="8">
        <f>N5+N13-N19-N20</f>
        <v>40161984.42999999</v>
      </c>
      <c r="O21" s="8">
        <f>O5+O13-O19-O20</f>
        <v>43659522.08</v>
      </c>
      <c r="P21" s="10">
        <f>SUM(N21:O21)</f>
        <v>83821506.50999999</v>
      </c>
      <c r="Q21" s="8">
        <f>Q5+Q13-Q19-Q20</f>
        <v>59448953.62</v>
      </c>
      <c r="R21" s="8">
        <f>R5+R13-R19-R20</f>
        <v>73410376.19</v>
      </c>
      <c r="S21" s="10">
        <f t="shared" si="16"/>
        <v>132859329.81</v>
      </c>
      <c r="T21" s="8">
        <f>T5+T13-T19-T20</f>
        <v>622087963.4999999</v>
      </c>
      <c r="U21" s="8">
        <f>SUM(B21:R21)</f>
        <v>1111316597.19</v>
      </c>
      <c r="V21" s="11">
        <f>U21-T21</f>
        <v>489228633.6900002</v>
      </c>
      <c r="W21" s="1"/>
      <c r="X21" s="1"/>
    </row>
    <row r="22" spans="1:20" s="15" customFormat="1" ht="12.7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2" s="4" customFormat="1" ht="12.75" customHeight="1">
      <c r="A23" s="32" t="s">
        <v>0</v>
      </c>
      <c r="B23" s="28" t="s">
        <v>41</v>
      </c>
      <c r="C23" s="29"/>
      <c r="D23" s="29"/>
      <c r="E23" s="29"/>
      <c r="F23" s="29"/>
      <c r="G23" s="29"/>
      <c r="H23" s="29"/>
      <c r="I23" s="29"/>
      <c r="J23" s="29"/>
      <c r="K23" s="28" t="s">
        <v>41</v>
      </c>
      <c r="L23" s="29"/>
      <c r="M23" s="29"/>
      <c r="N23" s="29"/>
      <c r="O23" s="29"/>
      <c r="P23" s="29"/>
      <c r="Q23" s="29"/>
      <c r="R23" s="29"/>
      <c r="S23" s="29"/>
      <c r="T23" s="30"/>
      <c r="U23" s="3"/>
      <c r="V23" s="3"/>
    </row>
    <row r="24" spans="1:22" s="4" customFormat="1" ht="23.25" customHeight="1">
      <c r="A24" s="32"/>
      <c r="B24" s="5" t="s">
        <v>1</v>
      </c>
      <c r="C24" s="5" t="s">
        <v>2</v>
      </c>
      <c r="D24" s="5" t="s">
        <v>3</v>
      </c>
      <c r="E24" s="5" t="s">
        <v>4</v>
      </c>
      <c r="F24" s="5" t="s">
        <v>5</v>
      </c>
      <c r="G24" s="5" t="s">
        <v>6</v>
      </c>
      <c r="H24" s="5" t="s">
        <v>7</v>
      </c>
      <c r="I24" s="5" t="s">
        <v>8</v>
      </c>
      <c r="J24" s="5" t="s">
        <v>9</v>
      </c>
      <c r="K24" s="5" t="s">
        <v>10</v>
      </c>
      <c r="L24" s="5" t="s">
        <v>11</v>
      </c>
      <c r="M24" s="5" t="s">
        <v>12</v>
      </c>
      <c r="N24" s="5" t="s">
        <v>13</v>
      </c>
      <c r="O24" s="5" t="s">
        <v>14</v>
      </c>
      <c r="P24" s="5" t="s">
        <v>15</v>
      </c>
      <c r="Q24" s="5" t="s">
        <v>16</v>
      </c>
      <c r="R24" s="5" t="s">
        <v>17</v>
      </c>
      <c r="S24" s="5" t="s">
        <v>18</v>
      </c>
      <c r="T24" s="26" t="s">
        <v>19</v>
      </c>
      <c r="U24" s="24"/>
      <c r="V24" s="25"/>
    </row>
    <row r="25" spans="1:22" s="18" customFormat="1" ht="12.75" customHeight="1">
      <c r="A25" s="16" t="s">
        <v>23</v>
      </c>
      <c r="B25" s="16">
        <f>B5/$T$5</f>
        <v>0.10424436332523507</v>
      </c>
      <c r="C25" s="16">
        <f>C5/$T$5</f>
        <v>0.09090528747949175</v>
      </c>
      <c r="D25" s="17">
        <f aca="true" t="shared" si="18" ref="D25:D36">SUM(B25:C25)</f>
        <v>0.19514965080472682</v>
      </c>
      <c r="E25" s="16">
        <f>E5/$T$5</f>
        <v>0.07073620337379352</v>
      </c>
      <c r="F25" s="16">
        <f>F5/$T$5</f>
        <v>0.0905538845630969</v>
      </c>
      <c r="G25" s="17">
        <f aca="true" t="shared" si="19" ref="G25:G36">SUM(E25:F25)</f>
        <v>0.16129008793689043</v>
      </c>
      <c r="H25" s="16">
        <f>H5/$T$5</f>
        <v>0.07840316061151831</v>
      </c>
      <c r="I25" s="16">
        <f>I5/$T$5</f>
        <v>0.06905410770905288</v>
      </c>
      <c r="J25" s="17">
        <f aca="true" t="shared" si="20" ref="J25:J36">SUM(H25:I25)</f>
        <v>0.14745726832057118</v>
      </c>
      <c r="K25" s="16">
        <f>K5/$T$5</f>
        <v>0.07873756431312899</v>
      </c>
      <c r="L25" s="16">
        <f>L5/$T$5</f>
        <v>0.06787005938214223</v>
      </c>
      <c r="M25" s="17">
        <f aca="true" t="shared" si="21" ref="M25:M36">SUM(K25:L25)</f>
        <v>0.14660762369527122</v>
      </c>
      <c r="N25" s="16">
        <f>N5/$T$5</f>
        <v>0.06754144835602788</v>
      </c>
      <c r="O25" s="16">
        <f>O5/$T$5</f>
        <v>0.07361112575269813</v>
      </c>
      <c r="P25" s="17">
        <f aca="true" t="shared" si="22" ref="P25:P36">SUM(N25:O25)</f>
        <v>0.141152574108726</v>
      </c>
      <c r="Q25" s="16">
        <f>Q5/$T$5</f>
        <v>0.09322462474494553</v>
      </c>
      <c r="R25" s="16">
        <f>R5/$T$5</f>
        <v>0.11511817038886894</v>
      </c>
      <c r="S25" s="17">
        <f aca="true" t="shared" si="23" ref="S25:S36">SUM(Q25:R25)</f>
        <v>0.20834279513381448</v>
      </c>
      <c r="T25" s="16">
        <f aca="true" t="shared" si="24" ref="T25:T36">SUM(B25+C25+E25+F25+H25+I25+K25+L25+N25+O25+Q25+R25)</f>
        <v>1</v>
      </c>
      <c r="U25" s="16">
        <f aca="true" t="shared" si="25" ref="U25:U36">SUM(B25:R25)</f>
        <v>1.7916572048661856</v>
      </c>
      <c r="V25" s="16">
        <f aca="true" t="shared" si="26" ref="V25:V36">U25-T25</f>
        <v>0.7916572048661856</v>
      </c>
    </row>
    <row r="26" spans="1:23" s="22" customFormat="1" ht="24.75" customHeight="1">
      <c r="A26" s="27" t="s">
        <v>39</v>
      </c>
      <c r="B26" s="19">
        <f>B6/$T$6</f>
        <v>0.1265714737866826</v>
      </c>
      <c r="C26" s="19">
        <f>C6/$T$6</f>
        <v>0.12225984065342203</v>
      </c>
      <c r="D26" s="20">
        <f t="shared" si="18"/>
        <v>0.24883131444010465</v>
      </c>
      <c r="E26" s="19">
        <f>E6/$T$6</f>
        <v>0.06028234374473262</v>
      </c>
      <c r="F26" s="19">
        <f>F6/$T$6</f>
        <v>0.0706482435997331</v>
      </c>
      <c r="G26" s="20">
        <f t="shared" si="19"/>
        <v>0.13093058734446572</v>
      </c>
      <c r="H26" s="19">
        <f>H6/$T$6</f>
        <v>0.06979216289818428</v>
      </c>
      <c r="I26" s="19">
        <f>I6/$T$6</f>
        <v>0.06599896196022569</v>
      </c>
      <c r="J26" s="20">
        <f t="shared" si="20"/>
        <v>0.13579112485840997</v>
      </c>
      <c r="K26" s="19">
        <f>K6/$T$6</f>
        <v>0.0720920468849073</v>
      </c>
      <c r="L26" s="19">
        <f>L6/$T$6</f>
        <v>0.06759251285114301</v>
      </c>
      <c r="M26" s="20">
        <f t="shared" si="21"/>
        <v>0.13968455973605032</v>
      </c>
      <c r="N26" s="19">
        <f>N6/$T$6</f>
        <v>0.06989349413920587</v>
      </c>
      <c r="O26" s="19">
        <f>O6/$T$6</f>
        <v>0.06959885644504525</v>
      </c>
      <c r="P26" s="20">
        <f t="shared" si="22"/>
        <v>0.13949235058425113</v>
      </c>
      <c r="Q26" s="19">
        <f>Q6/$T$6</f>
        <v>0.09184970656166355</v>
      </c>
      <c r="R26" s="19">
        <f>R6/$T$6</f>
        <v>0.11342035647505481</v>
      </c>
      <c r="S26" s="20">
        <f t="shared" si="23"/>
        <v>0.20527006303671835</v>
      </c>
      <c r="T26" s="16">
        <f t="shared" si="24"/>
        <v>1.0000000000000002</v>
      </c>
      <c r="U26" s="19">
        <f t="shared" si="25"/>
        <v>1.7947299369632816</v>
      </c>
      <c r="V26" s="19">
        <f t="shared" si="26"/>
        <v>0.7947299369632814</v>
      </c>
      <c r="W26" s="21"/>
    </row>
    <row r="27" spans="1:22" s="22" customFormat="1" ht="12.75" customHeight="1">
      <c r="A27" s="19" t="s">
        <v>24</v>
      </c>
      <c r="B27" s="19">
        <f>B7/$T$7</f>
        <v>0.09048485870300832</v>
      </c>
      <c r="C27" s="19">
        <f>C7/$T$7</f>
        <v>0.08879876476006841</v>
      </c>
      <c r="D27" s="20">
        <f>SUM(B27:C27)</f>
        <v>0.17928362346307675</v>
      </c>
      <c r="E27" s="19">
        <f>E7/$T$7</f>
        <v>0.0822230498918154</v>
      </c>
      <c r="F27" s="19">
        <f>F7/$T$7</f>
        <v>0.08468112964954021</v>
      </c>
      <c r="G27" s="20">
        <f t="shared" si="19"/>
        <v>0.1669041795413556</v>
      </c>
      <c r="H27" s="19">
        <f>H7/$T$7</f>
        <v>0.08049184567809495</v>
      </c>
      <c r="I27" s="19">
        <f>I7/$T$7</f>
        <v>0.06999645331841631</v>
      </c>
      <c r="J27" s="20">
        <f t="shared" si="20"/>
        <v>0.15048829899651125</v>
      </c>
      <c r="K27" s="19">
        <f>K7/$T$7</f>
        <v>0.072384514583914</v>
      </c>
      <c r="L27" s="19">
        <f>L7/$T$7</f>
        <v>0.07160476835031272</v>
      </c>
      <c r="M27" s="20">
        <f t="shared" si="21"/>
        <v>0.14398928293422672</v>
      </c>
      <c r="N27" s="19">
        <f>N7/$T$7</f>
        <v>0.07452594542808365</v>
      </c>
      <c r="O27" s="19">
        <f>O7/$T$7</f>
        <v>0.06841878740258793</v>
      </c>
      <c r="P27" s="20">
        <f t="shared" si="22"/>
        <v>0.14294473283067158</v>
      </c>
      <c r="Q27" s="19">
        <f>Q7/$T$7</f>
        <v>0.0968253579998911</v>
      </c>
      <c r="R27" s="19">
        <f>R7/$T$7</f>
        <v>0.1195645242342671</v>
      </c>
      <c r="S27" s="20">
        <f t="shared" si="23"/>
        <v>0.2163898822341582</v>
      </c>
      <c r="T27" s="16">
        <f t="shared" si="24"/>
        <v>1</v>
      </c>
      <c r="U27" s="19">
        <f t="shared" si="25"/>
        <v>1.7836101177658419</v>
      </c>
      <c r="V27" s="19">
        <f t="shared" si="26"/>
        <v>0.7836101177658419</v>
      </c>
    </row>
    <row r="28" spans="1:22" s="22" customFormat="1" ht="12.75" customHeight="1">
      <c r="A28" s="19" t="s">
        <v>25</v>
      </c>
      <c r="B28" s="19">
        <f>B8/$T$8</f>
        <v>0.07799448205800757</v>
      </c>
      <c r="C28" s="19">
        <f>C8/$T$8</f>
        <v>0.06659187601128681</v>
      </c>
      <c r="D28" s="20">
        <f t="shared" si="18"/>
        <v>0.14458635806929437</v>
      </c>
      <c r="E28" s="19">
        <f>E8/$T$8</f>
        <v>0.07751325982068215</v>
      </c>
      <c r="F28" s="19">
        <f>F8/$T$8</f>
        <v>0.0828962185267655</v>
      </c>
      <c r="G28" s="20">
        <f t="shared" si="19"/>
        <v>0.16040947834744765</v>
      </c>
      <c r="H28" s="19">
        <f>H8/$T$8</f>
        <v>0.09640643984120584</v>
      </c>
      <c r="I28" s="19">
        <f>I8/$T$8</f>
        <v>0.1003299698077506</v>
      </c>
      <c r="J28" s="20">
        <f t="shared" si="20"/>
        <v>0.19673640964895645</v>
      </c>
      <c r="K28" s="19">
        <f>K8/$T$8</f>
        <v>0.09143472904362478</v>
      </c>
      <c r="L28" s="19">
        <f>L8/$T$8</f>
        <v>0.08229764099822351</v>
      </c>
      <c r="M28" s="20">
        <f t="shared" si="21"/>
        <v>0.17373237004184827</v>
      </c>
      <c r="N28" s="19">
        <f>N8/$T$8</f>
        <v>0.07803267713801278</v>
      </c>
      <c r="O28" s="19">
        <f>O8/$T$8</f>
        <v>0.08079891352048468</v>
      </c>
      <c r="P28" s="20">
        <f t="shared" si="22"/>
        <v>0.15883159065849745</v>
      </c>
      <c r="Q28" s="19">
        <f>Q8/$T$8</f>
        <v>0.07414546319705612</v>
      </c>
      <c r="R28" s="19">
        <f>R8/$T$8</f>
        <v>0.0915583300368997</v>
      </c>
      <c r="S28" s="20">
        <f t="shared" si="23"/>
        <v>0.16570379323395582</v>
      </c>
      <c r="T28" s="16">
        <f t="shared" si="24"/>
        <v>1</v>
      </c>
      <c r="U28" s="19">
        <f t="shared" si="25"/>
        <v>1.8342962067660442</v>
      </c>
      <c r="V28" s="19">
        <f t="shared" si="26"/>
        <v>0.8342962067660442</v>
      </c>
    </row>
    <row r="29" spans="1:22" s="22" customFormat="1" ht="12.75" customHeight="1" hidden="1">
      <c r="A29" s="19" t="s">
        <v>26</v>
      </c>
      <c r="B29" s="19">
        <f>B9/$T$8</f>
        <v>0</v>
      </c>
      <c r="C29" s="19">
        <v>0</v>
      </c>
      <c r="D29" s="20">
        <f t="shared" si="18"/>
        <v>0</v>
      </c>
      <c r="E29" s="19">
        <v>0</v>
      </c>
      <c r="F29" s="19">
        <v>0</v>
      </c>
      <c r="G29" s="20">
        <f t="shared" si="19"/>
        <v>0</v>
      </c>
      <c r="H29" s="19">
        <v>0</v>
      </c>
      <c r="I29" s="19">
        <v>0</v>
      </c>
      <c r="J29" s="20">
        <f t="shared" si="20"/>
        <v>0</v>
      </c>
      <c r="K29" s="19">
        <v>0</v>
      </c>
      <c r="L29" s="19">
        <v>0</v>
      </c>
      <c r="M29" s="20">
        <v>0</v>
      </c>
      <c r="N29" s="19">
        <v>0</v>
      </c>
      <c r="O29" s="19">
        <v>0</v>
      </c>
      <c r="P29" s="20">
        <f t="shared" si="22"/>
        <v>0</v>
      </c>
      <c r="Q29" s="19">
        <v>0</v>
      </c>
      <c r="R29" s="19">
        <v>0</v>
      </c>
      <c r="S29" s="20">
        <f t="shared" si="23"/>
        <v>0</v>
      </c>
      <c r="T29" s="16">
        <f t="shared" si="24"/>
        <v>0</v>
      </c>
      <c r="U29" s="19">
        <f t="shared" si="25"/>
        <v>0</v>
      </c>
      <c r="V29" s="19">
        <f t="shared" si="26"/>
        <v>0</v>
      </c>
    </row>
    <row r="30" spans="1:22" s="22" customFormat="1" ht="12.75" customHeight="1">
      <c r="A30" s="19" t="s">
        <v>27</v>
      </c>
      <c r="B30" s="19">
        <f>B10/$T$10</f>
        <v>0</v>
      </c>
      <c r="C30" s="19">
        <f>C10/$T$10</f>
        <v>0.41015511742534067</v>
      </c>
      <c r="D30" s="20">
        <f t="shared" si="18"/>
        <v>0.41015511742534067</v>
      </c>
      <c r="E30" s="19">
        <f>E10/$T$10</f>
        <v>0.1972310814728907</v>
      </c>
      <c r="F30" s="19">
        <f>F10/$T$10</f>
        <v>0.19661496085821975</v>
      </c>
      <c r="G30" s="20">
        <f t="shared" si="19"/>
        <v>0.3938460423311104</v>
      </c>
      <c r="H30" s="19">
        <f>H10/$T$10</f>
        <v>0.19599884024354883</v>
      </c>
      <c r="I30" s="19">
        <f>I10/$T$10</f>
        <v>0</v>
      </c>
      <c r="J30" s="20">
        <f t="shared" si="20"/>
        <v>0.19599884024354883</v>
      </c>
      <c r="K30" s="19">
        <f>K10/$T$10</f>
        <v>0</v>
      </c>
      <c r="L30" s="19">
        <f>L10/$T$10</f>
        <v>0</v>
      </c>
      <c r="M30" s="20">
        <f t="shared" si="21"/>
        <v>0</v>
      </c>
      <c r="N30" s="19">
        <f>N10/$T$10</f>
        <v>0</v>
      </c>
      <c r="O30" s="19">
        <f>O10/$T$10</f>
        <v>0</v>
      </c>
      <c r="P30" s="20">
        <f t="shared" si="22"/>
        <v>0</v>
      </c>
      <c r="Q30" s="19">
        <f>Q10/$T$10</f>
        <v>0</v>
      </c>
      <c r="R30" s="19">
        <f>R10/$T$10</f>
        <v>0</v>
      </c>
      <c r="S30" s="20">
        <f t="shared" si="23"/>
        <v>0</v>
      </c>
      <c r="T30" s="16">
        <f t="shared" si="24"/>
        <v>1</v>
      </c>
      <c r="U30" s="19">
        <f t="shared" si="25"/>
        <v>2</v>
      </c>
      <c r="V30" s="19">
        <f t="shared" si="26"/>
        <v>1</v>
      </c>
    </row>
    <row r="31" spans="1:22" s="22" customFormat="1" ht="12.75" customHeight="1">
      <c r="A31" s="19" t="s">
        <v>28</v>
      </c>
      <c r="B31" s="19">
        <f>B11/$T$11</f>
        <v>0.0931183982126145</v>
      </c>
      <c r="C31" s="19">
        <f>C11/$T$11</f>
        <v>0.07422356530333153</v>
      </c>
      <c r="D31" s="20">
        <f t="shared" si="18"/>
        <v>0.16734196351594605</v>
      </c>
      <c r="E31" s="19">
        <f>E11/$T$11</f>
        <v>0.076143592090103</v>
      </c>
      <c r="F31" s="19">
        <f>F11/$T$11</f>
        <v>0.10158009345561506</v>
      </c>
      <c r="G31" s="20">
        <f t="shared" si="19"/>
        <v>0.17772368554571805</v>
      </c>
      <c r="H31" s="19">
        <f>H11/$T$11</f>
        <v>0.08242896238170698</v>
      </c>
      <c r="I31" s="19">
        <f>I11/$T$11</f>
        <v>0.06979529783829984</v>
      </c>
      <c r="J31" s="20">
        <f t="shared" si="20"/>
        <v>0.15222426022000682</v>
      </c>
      <c r="K31" s="19">
        <f>K11/$T$11</f>
        <v>0.082179366188573</v>
      </c>
      <c r="L31" s="19">
        <f>L11/$T$11</f>
        <v>0.06751474697107561</v>
      </c>
      <c r="M31" s="20">
        <f t="shared" si="21"/>
        <v>0.1496941131596486</v>
      </c>
      <c r="N31" s="19">
        <f>N11/$T$11</f>
        <v>0.06588834997354705</v>
      </c>
      <c r="O31" s="19">
        <f>O11/$T$11</f>
        <v>0.07580885500979427</v>
      </c>
      <c r="P31" s="20">
        <f t="shared" si="22"/>
        <v>0.14169720498334132</v>
      </c>
      <c r="Q31" s="19">
        <f>Q11/$T$11</f>
        <v>0.09455624936927418</v>
      </c>
      <c r="R31" s="19">
        <f>R11/$T$11</f>
        <v>0.116762523206065</v>
      </c>
      <c r="S31" s="20">
        <f t="shared" si="23"/>
        <v>0.21131877257533918</v>
      </c>
      <c r="T31" s="16">
        <f t="shared" si="24"/>
        <v>1.0000000000000002</v>
      </c>
      <c r="U31" s="19">
        <f t="shared" si="25"/>
        <v>1.7886812274246604</v>
      </c>
      <c r="V31" s="19">
        <f t="shared" si="26"/>
        <v>0.7886812274246602</v>
      </c>
    </row>
    <row r="32" spans="1:22" s="22" customFormat="1" ht="12.75" customHeight="1">
      <c r="A32" s="19" t="s">
        <v>29</v>
      </c>
      <c r="B32" s="19">
        <f>B12/$T$12</f>
        <v>0.06615272413439655</v>
      </c>
      <c r="C32" s="19">
        <f>C12/$T$12</f>
        <v>0.06515413929076624</v>
      </c>
      <c r="D32" s="20">
        <f t="shared" si="18"/>
        <v>0.1313068634251628</v>
      </c>
      <c r="E32" s="19">
        <f>E12/$T$12</f>
        <v>0.07497724255629809</v>
      </c>
      <c r="F32" s="19">
        <f>F12/$T$12</f>
        <v>0.12704146684304032</v>
      </c>
      <c r="G32" s="20">
        <f t="shared" si="19"/>
        <v>0.20201870939933841</v>
      </c>
      <c r="H32" s="19">
        <f>H12/$T$12</f>
        <v>0.10445903210728717</v>
      </c>
      <c r="I32" s="19">
        <f>I12/$T$12</f>
        <v>0.08554022516576798</v>
      </c>
      <c r="J32" s="20">
        <f t="shared" si="20"/>
        <v>0.18999925727305517</v>
      </c>
      <c r="K32" s="19">
        <f>K12/$T$12</f>
        <v>0.08942056494617365</v>
      </c>
      <c r="L32" s="19">
        <f>L12/$T$12</f>
        <v>0.0744055666034296</v>
      </c>
      <c r="M32" s="20">
        <f t="shared" si="21"/>
        <v>0.16382613154960324</v>
      </c>
      <c r="N32" s="19">
        <f>N12/$T$12</f>
        <v>0.061929076439674845</v>
      </c>
      <c r="O32" s="19">
        <f>O12/$T$12</f>
        <v>0.07426687697148705</v>
      </c>
      <c r="P32" s="20">
        <f t="shared" si="22"/>
        <v>0.1361959534111619</v>
      </c>
      <c r="Q32" s="19">
        <f>Q12/$T$12</f>
        <v>0.07904481496429652</v>
      </c>
      <c r="R32" s="19">
        <f>R12/$T$12</f>
        <v>0.09760826997738205</v>
      </c>
      <c r="S32" s="20">
        <f t="shared" si="23"/>
        <v>0.17665308494167858</v>
      </c>
      <c r="T32" s="16">
        <f t="shared" si="24"/>
        <v>1</v>
      </c>
      <c r="U32" s="19">
        <f t="shared" si="25"/>
        <v>1.823346915058322</v>
      </c>
      <c r="V32" s="19">
        <f t="shared" si="26"/>
        <v>0.8233469150583219</v>
      </c>
    </row>
    <row r="33" spans="1:22" s="18" customFormat="1" ht="12.75" customHeight="1">
      <c r="A33" s="16" t="s">
        <v>30</v>
      </c>
      <c r="B33" s="16">
        <f>B13/$T$13</f>
        <v>0.12198066782963847</v>
      </c>
      <c r="C33" s="16">
        <f>C13/$T$13</f>
        <v>0.11604624803150114</v>
      </c>
      <c r="D33" s="17">
        <f t="shared" si="18"/>
        <v>0.2380269158611396</v>
      </c>
      <c r="E33" s="16">
        <f>E13/$T$13</f>
        <v>0.12206076323596968</v>
      </c>
      <c r="F33" s="16">
        <f>F13/$T$13</f>
        <v>0.11433991910489583</v>
      </c>
      <c r="G33" s="17">
        <f t="shared" si="19"/>
        <v>0.2364006823408655</v>
      </c>
      <c r="H33" s="16">
        <f>H13/$T$13</f>
        <v>0.1420419321830527</v>
      </c>
      <c r="I33" s="16">
        <f>I13/$T$13</f>
        <v>0.013907249943035643</v>
      </c>
      <c r="J33" s="17">
        <f t="shared" si="20"/>
        <v>0.15594918212608833</v>
      </c>
      <c r="K33" s="16">
        <f>K13/$T$13</f>
        <v>0.015578895310247092</v>
      </c>
      <c r="L33" s="16">
        <f>L13/$T$13</f>
        <v>0.011947276946852409</v>
      </c>
      <c r="M33" s="17">
        <f t="shared" si="21"/>
        <v>0.027526172257099503</v>
      </c>
      <c r="N33" s="16">
        <f>N13/$T$13</f>
        <v>0.010107696929842343</v>
      </c>
      <c r="O33" s="16">
        <f>O13/$T$13</f>
        <v>0.006738859549678216</v>
      </c>
      <c r="P33" s="17">
        <f t="shared" si="22"/>
        <v>0.01684655647952056</v>
      </c>
      <c r="Q33" s="16">
        <f>Q13/$T$13</f>
        <v>0.1455358942074457</v>
      </c>
      <c r="R33" s="16">
        <f>R13/$T$13</f>
        <v>0.17971459672784074</v>
      </c>
      <c r="S33" s="17">
        <f t="shared" si="23"/>
        <v>0.32525049093528646</v>
      </c>
      <c r="T33" s="16">
        <f t="shared" si="24"/>
        <v>1</v>
      </c>
      <c r="U33" s="16">
        <f t="shared" si="25"/>
        <v>1.6747495090647138</v>
      </c>
      <c r="V33" s="16">
        <f t="shared" si="26"/>
        <v>0.6747495090647138</v>
      </c>
    </row>
    <row r="34" spans="1:22" s="22" customFormat="1" ht="12.75" customHeight="1">
      <c r="A34" s="19" t="s">
        <v>31</v>
      </c>
      <c r="B34" s="19">
        <f>B14/$T$14</f>
        <v>0</v>
      </c>
      <c r="C34" s="19">
        <f>C14/$T$14</f>
        <v>0.00763230884909048</v>
      </c>
      <c r="D34" s="20">
        <f t="shared" si="18"/>
        <v>0.00763230884909048</v>
      </c>
      <c r="E34" s="19">
        <f>E14/$T$14</f>
        <v>0.020976515869153</v>
      </c>
      <c r="F34" s="19">
        <f>F14/$T$14</f>
        <v>0</v>
      </c>
      <c r="G34" s="20">
        <f t="shared" si="19"/>
        <v>0.020976515869153</v>
      </c>
      <c r="H34" s="19">
        <f>H14/$T$14</f>
        <v>0.6525489168962781</v>
      </c>
      <c r="I34" s="19">
        <f>I14/$T$14</f>
        <v>0.035378200549098474</v>
      </c>
      <c r="J34" s="20">
        <f t="shared" si="20"/>
        <v>0.6879271174453766</v>
      </c>
      <c r="K34" s="19">
        <f>K14/$T$14</f>
        <v>0</v>
      </c>
      <c r="L34" s="19">
        <f>L14/$T$14</f>
        <v>0.021184494861627073</v>
      </c>
      <c r="M34" s="20">
        <f t="shared" si="21"/>
        <v>0.021184494861627073</v>
      </c>
      <c r="N34" s="19">
        <f>N14/$T$14</f>
        <v>0.029852778718522852</v>
      </c>
      <c r="O34" s="19">
        <f>O14/$T$14</f>
        <v>0</v>
      </c>
      <c r="P34" s="20">
        <f t="shared" si="22"/>
        <v>0.029852778718522852</v>
      </c>
      <c r="Q34" s="19">
        <f>Q14/$T$14</f>
        <v>0.10400119550690427</v>
      </c>
      <c r="R34" s="19">
        <f>R14/$T$14</f>
        <v>0.12842558874932583</v>
      </c>
      <c r="S34" s="20">
        <f t="shared" si="23"/>
        <v>0.2324267842562301</v>
      </c>
      <c r="T34" s="16">
        <f t="shared" si="24"/>
        <v>1</v>
      </c>
      <c r="U34" s="19">
        <f t="shared" si="25"/>
        <v>1.76757321574377</v>
      </c>
      <c r="V34" s="19">
        <f t="shared" si="26"/>
        <v>0.76757321574377</v>
      </c>
    </row>
    <row r="35" spans="1:22" s="22" customFormat="1" ht="12.75" customHeight="1">
      <c r="A35" s="19" t="s">
        <v>32</v>
      </c>
      <c r="B35" s="19">
        <f>B15/$T$15</f>
        <v>0.0036546855313674574</v>
      </c>
      <c r="C35" s="19">
        <f>C15/$T$15</f>
        <v>0.003234906091551558</v>
      </c>
      <c r="D35" s="20">
        <f t="shared" si="18"/>
        <v>0.0068895916229190154</v>
      </c>
      <c r="E35" s="19">
        <f>E15/$T$15</f>
        <v>0.0018911158070037016</v>
      </c>
      <c r="F35" s="19">
        <f>F15/$T$15</f>
        <v>0.0020962437031436898</v>
      </c>
      <c r="G35" s="20">
        <f t="shared" si="19"/>
        <v>0.0039873595101473916</v>
      </c>
      <c r="H35" s="19">
        <f>H15/$T$15</f>
        <v>0.0009754400916669937</v>
      </c>
      <c r="I35" s="19">
        <f>I15/$T$15</f>
        <v>0.0019689482428073214</v>
      </c>
      <c r="J35" s="20">
        <f t="shared" si="20"/>
        <v>0.002944388334474315</v>
      </c>
      <c r="K35" s="19">
        <f>K15/$T$15</f>
        <v>0.025751253079867132</v>
      </c>
      <c r="L35" s="19">
        <f>L15/$T$15</f>
        <v>0.002129643646631719</v>
      </c>
      <c r="M35" s="20">
        <f t="shared" si="21"/>
        <v>0.02788089672649885</v>
      </c>
      <c r="N35" s="19">
        <f>N15/$T$15</f>
        <v>0.002079175549149575</v>
      </c>
      <c r="O35" s="19">
        <f>O15/$T$15</f>
        <v>0.0009575244725638766</v>
      </c>
      <c r="P35" s="20">
        <f t="shared" si="22"/>
        <v>0.0030367000217134516</v>
      </c>
      <c r="Q35" s="19">
        <f>Q15/$T$15</f>
        <v>0.4274390878445721</v>
      </c>
      <c r="R35" s="19">
        <f>R15/$T$15</f>
        <v>0.527821975939675</v>
      </c>
      <c r="S35" s="20">
        <f t="shared" si="23"/>
        <v>0.955261063784247</v>
      </c>
      <c r="T35" s="16">
        <f t="shared" si="24"/>
        <v>1</v>
      </c>
      <c r="U35" s="19">
        <f t="shared" si="25"/>
        <v>1.044738936215753</v>
      </c>
      <c r="V35" s="19">
        <f t="shared" si="26"/>
        <v>0.04473893621575309</v>
      </c>
    </row>
    <row r="36" spans="1:22" s="22" customFormat="1" ht="12.75" customHeight="1">
      <c r="A36" s="19" t="s">
        <v>35</v>
      </c>
      <c r="B36" s="19">
        <f>B16/$T$16</f>
        <v>0.0021868440602242655</v>
      </c>
      <c r="C36" s="19">
        <f>C16/$T$16</f>
        <v>0.005375221860791348</v>
      </c>
      <c r="D36" s="20">
        <f t="shared" si="18"/>
        <v>0.007562065921015614</v>
      </c>
      <c r="E36" s="19">
        <f>E16/$T$16</f>
        <v>0.005360312297019254</v>
      </c>
      <c r="F36" s="19">
        <f>F16/$T$16</f>
        <v>0.08611764034761324</v>
      </c>
      <c r="G36" s="20">
        <f t="shared" si="19"/>
        <v>0.09147795264463249</v>
      </c>
      <c r="H36" s="19">
        <f>H16/$T$16</f>
        <v>0.11044324188368725</v>
      </c>
      <c r="I36" s="19">
        <f>I16/$T$16</f>
        <v>0.00531590772665454</v>
      </c>
      <c r="J36" s="20">
        <f t="shared" si="20"/>
        <v>0.11575914961034178</v>
      </c>
      <c r="K36" s="19">
        <f>K16/$T$16</f>
        <v>0.179394464273444</v>
      </c>
      <c r="L36" s="19">
        <f>L16/$T$16</f>
        <v>0.12340127340639452</v>
      </c>
      <c r="M36" s="20">
        <f t="shared" si="21"/>
        <v>0.30279573767983853</v>
      </c>
      <c r="N36" s="19">
        <f>N16/$T$16</f>
        <v>0.11349613712649921</v>
      </c>
      <c r="O36" s="19">
        <f>O16/$T$16</f>
        <v>0.2115002651309384</v>
      </c>
      <c r="P36" s="20">
        <f t="shared" si="22"/>
        <v>0.3249964022574376</v>
      </c>
      <c r="Q36" s="19">
        <f>Q16/$T$16</f>
        <v>0.07043375162222537</v>
      </c>
      <c r="R36" s="19">
        <f>R16/$T$16</f>
        <v>0.08697494026450862</v>
      </c>
      <c r="S36" s="20">
        <f t="shared" si="23"/>
        <v>0.157408691886734</v>
      </c>
      <c r="T36" s="16">
        <f t="shared" si="24"/>
        <v>1</v>
      </c>
      <c r="U36" s="19">
        <f t="shared" si="25"/>
        <v>1.8425913081132659</v>
      </c>
      <c r="V36" s="19">
        <f t="shared" si="26"/>
        <v>0.8425913081132659</v>
      </c>
    </row>
    <row r="37" spans="1:22" s="22" customFormat="1" ht="12.75" customHeight="1">
      <c r="A37" s="12" t="s">
        <v>34</v>
      </c>
      <c r="B37" s="19">
        <f>B17/$T$17</f>
        <v>0.17671869158746445</v>
      </c>
      <c r="C37" s="19">
        <f>C17/$T$17</f>
        <v>0.16577478061457612</v>
      </c>
      <c r="D37" s="20">
        <f>SUM(B37:C37)</f>
        <v>0.34249347220204057</v>
      </c>
      <c r="E37" s="19">
        <f>E17/$T$17</f>
        <v>0.17054696364799918</v>
      </c>
      <c r="F37" s="19">
        <f>F17/$T$17</f>
        <v>0.16574181187386938</v>
      </c>
      <c r="G37" s="20">
        <f>SUM(E37:F37)</f>
        <v>0.33628877552186853</v>
      </c>
      <c r="H37" s="19">
        <f>H17/$T$17</f>
        <v>0.0029138698723227335</v>
      </c>
      <c r="I37" s="19">
        <f>I17/$T$17</f>
        <v>0.008907334373855408</v>
      </c>
      <c r="J37" s="20">
        <f>SUM(H37:I37)</f>
        <v>0.011821204246178142</v>
      </c>
      <c r="K37" s="19">
        <f>K17/$T$17</f>
        <v>0.01881821827290242</v>
      </c>
      <c r="L37" s="19">
        <f>L17/$T$17</f>
        <v>0.010324797902054914</v>
      </c>
      <c r="M37" s="20">
        <f>SUM(K37:L37)</f>
        <v>0.029143016174957334</v>
      </c>
      <c r="N37" s="19">
        <f>N17/$T$17</f>
        <v>0.00497075315451773</v>
      </c>
      <c r="O37" s="19">
        <f>O17/$T$17</f>
        <v>0.009420104159767637</v>
      </c>
      <c r="P37" s="20">
        <f>SUM(N37:O37)</f>
        <v>0.014390857314285367</v>
      </c>
      <c r="Q37" s="19">
        <f>Q17/$T$17</f>
        <v>0.11896234793310322</v>
      </c>
      <c r="R37" s="19">
        <f>R17/$T$17</f>
        <v>0.1469003266075668</v>
      </c>
      <c r="S37" s="20">
        <f>SUM(Q37:R37)</f>
        <v>0.26586267454067003</v>
      </c>
      <c r="T37" s="16">
        <f>SUM(B37+C37+E37+F37+H37+I37+K37+L37+N37+O37+Q37+R37)</f>
        <v>1</v>
      </c>
      <c r="U37" s="19">
        <f>SUM(B37:R37)</f>
        <v>1.7341373254593302</v>
      </c>
      <c r="V37" s="19">
        <f>U37-T37</f>
        <v>0.7341373254593302</v>
      </c>
    </row>
    <row r="38" spans="1:22" s="1" customFormat="1" ht="12.75" customHeight="1" hidden="1">
      <c r="A38" s="12" t="s">
        <v>38</v>
      </c>
      <c r="B38" s="19">
        <f>B18/$T$17</f>
        <v>0</v>
      </c>
      <c r="C38" s="19" t="e">
        <f>C18/$T$18</f>
        <v>#DIV/0!</v>
      </c>
      <c r="D38" s="20" t="e">
        <f>SUM(B38:C38)</f>
        <v>#DIV/0!</v>
      </c>
      <c r="E38" s="19">
        <f>E18/$T$17</f>
        <v>0</v>
      </c>
      <c r="F38" s="19" t="e">
        <f>F18/$T$18</f>
        <v>#DIV/0!</v>
      </c>
      <c r="G38" s="20" t="e">
        <f>SUM(E38:F38)</f>
        <v>#DIV/0!</v>
      </c>
      <c r="H38" s="19">
        <f>H18/$T$17</f>
        <v>0</v>
      </c>
      <c r="I38" s="19">
        <f>I18/$T$17</f>
        <v>0</v>
      </c>
      <c r="J38" s="20">
        <f>SUM(H38:I38)</f>
        <v>0</v>
      </c>
      <c r="K38" s="19">
        <f>K18/$T$17</f>
        <v>0</v>
      </c>
      <c r="L38" s="19">
        <f>L18/$T$17</f>
        <v>0</v>
      </c>
      <c r="M38" s="20">
        <f>SUM(K38:L38)</f>
        <v>0</v>
      </c>
      <c r="N38" s="19">
        <f>N18/$T$17</f>
        <v>0</v>
      </c>
      <c r="O38" s="19">
        <f>O18/$T$17</f>
        <v>0</v>
      </c>
      <c r="P38" s="20">
        <f>SUM(N38:O38)</f>
        <v>0</v>
      </c>
      <c r="Q38" s="19">
        <f>Q18/$T$17</f>
        <v>0</v>
      </c>
      <c r="R38" s="19">
        <f>R18/$T$17</f>
        <v>0</v>
      </c>
      <c r="S38" s="20">
        <f>SUM(Q38:R38)</f>
        <v>0</v>
      </c>
      <c r="T38" s="16" t="e">
        <f>SUM(B38+C38+E38+F38+H38+I38+K38+L38+N38+O38+Q38+R38)</f>
        <v>#DIV/0!</v>
      </c>
      <c r="U38" s="19" t="e">
        <f>U18/$T$18</f>
        <v>#DIV/0!</v>
      </c>
      <c r="V38" s="19" t="e">
        <f>V18/$T$18</f>
        <v>#DIV/0!</v>
      </c>
    </row>
  </sheetData>
  <sheetProtection/>
  <mergeCells count="13">
    <mergeCell ref="K23:T23"/>
    <mergeCell ref="P3:P4"/>
    <mergeCell ref="S3:S4"/>
    <mergeCell ref="B2:J2"/>
    <mergeCell ref="K2:T2"/>
    <mergeCell ref="A22:T22"/>
    <mergeCell ref="A23:A24"/>
    <mergeCell ref="A2:A4"/>
    <mergeCell ref="D3:D4"/>
    <mergeCell ref="G3:G4"/>
    <mergeCell ref="J3:J4"/>
    <mergeCell ref="M3:M4"/>
    <mergeCell ref="B23:J23"/>
  </mergeCells>
  <printOptions horizontalCentered="1"/>
  <pageMargins left="0.2755905511811024" right="0.2755905511811024" top="0.7480314960629921" bottom="0.2755905511811024" header="0.3937007874015748" footer="0.5118110236220472"/>
  <pageSetup orientation="landscape" paperSize="9" r:id="rId1"/>
  <headerFooter alignWithMargins="0">
    <oddHeader>&amp;C&amp;"-,Regular"&amp;12ANEXO I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Nizeti</dc:creator>
  <cp:keywords/>
  <dc:description/>
  <cp:lastModifiedBy>dirlegis3</cp:lastModifiedBy>
  <cp:lastPrinted>2019-07-10T19:36:04Z</cp:lastPrinted>
  <dcterms:created xsi:type="dcterms:W3CDTF">2005-01-14T10:04:29Z</dcterms:created>
  <dcterms:modified xsi:type="dcterms:W3CDTF">2019-11-14T17:04:14Z</dcterms:modified>
  <cp:category/>
  <cp:version/>
  <cp:contentType/>
  <cp:contentStatus/>
  <cp:revision>2</cp:revision>
</cp:coreProperties>
</file>