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irlegis3\Desktop\"/>
    </mc:Choice>
  </mc:AlternateContent>
  <bookViews>
    <workbookView xWindow="0" yWindow="0" windowWidth="28800" windowHeight="12435" tabRatio="196"/>
  </bookViews>
  <sheets>
    <sheet name="Planilha1" sheetId="1" r:id="rId1"/>
    <sheet name="Planilha2" sheetId="2" r:id="rId2"/>
    <sheet name="Planilha3" sheetId="3" r:id="rId3"/>
  </sheets>
  <definedNames>
    <definedName name="_xlnm.Print_Area" localSheetId="0">Planilha1!$A$1:$BT$51</definedName>
    <definedName name="Excel_BuiltIn_Print_Area_1">Planilha1!$A$1:$BT$50</definedName>
    <definedName name="Excel_BuiltIn_Print_Titles_1_1">Planilha1!$A:$A</definedName>
    <definedName name="_xlnm.Print_Titles" localSheetId="0">Planilha1!$A:$A</definedName>
  </definedNames>
  <calcPr calcId="152511"/>
</workbook>
</file>

<file path=xl/calcChain.xml><?xml version="1.0" encoding="utf-8"?>
<calcChain xmlns="http://schemas.openxmlformats.org/spreadsheetml/2006/main">
  <c r="BH29" i="1" l="1"/>
  <c r="BH51" i="1"/>
  <c r="BH47" i="1"/>
  <c r="BO21" i="1" l="1"/>
  <c r="BH21" i="1"/>
  <c r="BH20" i="1"/>
  <c r="BH5" i="1"/>
  <c r="BC5" i="1"/>
  <c r="BG5" i="1" s="1"/>
  <c r="BH22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6" i="1"/>
  <c r="BO5" i="1"/>
  <c r="BA23" i="1"/>
  <c r="AV29" i="1" l="1"/>
  <c r="AJ29" i="1"/>
  <c r="AV51" i="1"/>
  <c r="AV47" i="1"/>
  <c r="AV21" i="1"/>
  <c r="AV20" i="1"/>
  <c r="AV5" i="1"/>
  <c r="BQ22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2" i="1"/>
  <c r="AV6" i="1"/>
  <c r="AJ47" i="1" l="1"/>
  <c r="AJ20" i="1"/>
  <c r="AJ21" i="1"/>
  <c r="AJ5" i="1"/>
  <c r="AJ22" i="1" l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6" i="1"/>
  <c r="X29" i="1" l="1"/>
  <c r="X51" i="1" l="1"/>
  <c r="X24" i="1"/>
  <c r="X21" i="1"/>
  <c r="X22" i="1"/>
  <c r="X20" i="1"/>
  <c r="X5" i="1"/>
  <c r="X47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6" i="1"/>
  <c r="BQ9" i="1"/>
  <c r="BQ7" i="1"/>
  <c r="E30" i="1" l="1"/>
  <c r="M29" i="1" l="1"/>
  <c r="M33" i="1"/>
  <c r="P33" i="1"/>
  <c r="M51" i="1"/>
  <c r="M47" i="1"/>
  <c r="M21" i="1"/>
  <c r="M20" i="1"/>
  <c r="G5" i="1"/>
  <c r="H5" i="1" s="1"/>
  <c r="G21" i="1"/>
  <c r="H21" i="1" s="1"/>
  <c r="L21" i="1" s="1"/>
  <c r="N21" i="1" s="1"/>
  <c r="R21" i="1" s="1"/>
  <c r="S21" i="1" s="1"/>
  <c r="W21" i="1" s="1"/>
  <c r="Z21" i="1" s="1"/>
  <c r="AD21" i="1" s="1"/>
  <c r="AE21" i="1" s="1"/>
  <c r="AI21" i="1" s="1"/>
  <c r="AL21" i="1" s="1"/>
  <c r="AP21" i="1" s="1"/>
  <c r="AQ21" i="1" s="1"/>
  <c r="AU21" i="1" s="1"/>
  <c r="AX21" i="1" s="1"/>
  <c r="BB21" i="1" s="1"/>
  <c r="BC21" i="1" s="1"/>
  <c r="BG21" i="1" s="1"/>
  <c r="BJ21" i="1" s="1"/>
  <c r="G20" i="1"/>
  <c r="H20" i="1" s="1"/>
  <c r="L20" i="1" s="1"/>
  <c r="N20" i="1" s="1"/>
  <c r="R20" i="1" s="1"/>
  <c r="S20" i="1" s="1"/>
  <c r="W20" i="1" s="1"/>
  <c r="Z20" i="1" s="1"/>
  <c r="AD20" i="1" s="1"/>
  <c r="AE20" i="1" s="1"/>
  <c r="AI20" i="1" s="1"/>
  <c r="AL20" i="1" s="1"/>
  <c r="AP20" i="1" s="1"/>
  <c r="AQ20" i="1" s="1"/>
  <c r="AU20" i="1" s="1"/>
  <c r="AX20" i="1" s="1"/>
  <c r="BB20" i="1" s="1"/>
  <c r="BC20" i="1" s="1"/>
  <c r="BG20" i="1" s="1"/>
  <c r="BJ20" i="1" s="1"/>
  <c r="D5" i="1"/>
  <c r="M5" i="1" s="1"/>
  <c r="E51" i="1"/>
  <c r="E47" i="1"/>
  <c r="G47" i="1" s="1"/>
  <c r="J47" i="1" s="1"/>
  <c r="BQ19" i="1"/>
  <c r="M22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6" i="1"/>
  <c r="E22" i="1"/>
  <c r="E19" i="1"/>
  <c r="BQ15" i="1"/>
  <c r="E15" i="1"/>
  <c r="E9" i="1"/>
  <c r="E7" i="1"/>
  <c r="E18" i="1"/>
  <c r="E17" i="1"/>
  <c r="E16" i="1"/>
  <c r="E14" i="1"/>
  <c r="E13" i="1"/>
  <c r="E12" i="1"/>
  <c r="E11" i="1"/>
  <c r="E10" i="1"/>
  <c r="E6" i="1"/>
  <c r="BO23" i="1" l="1"/>
  <c r="BJ23" i="1"/>
  <c r="E33" i="1"/>
  <c r="G33" i="1" s="1"/>
  <c r="J33" i="1" s="1"/>
  <c r="R33" i="1"/>
  <c r="U33" i="1"/>
  <c r="W33" i="1" s="1"/>
  <c r="AB33" i="1" s="1"/>
  <c r="X33" i="1"/>
  <c r="AJ33" i="1"/>
  <c r="BT33" i="1"/>
  <c r="B42" i="1"/>
  <c r="BT42" i="1" l="1"/>
  <c r="E42" i="1"/>
  <c r="AD33" i="1"/>
  <c r="BT21" i="1" l="1"/>
  <c r="BT20" i="1"/>
  <c r="AG33" i="1"/>
  <c r="AI33" i="1"/>
  <c r="BT51" i="1"/>
  <c r="AN33" i="1" l="1"/>
  <c r="AP33" i="1"/>
  <c r="AZ33" i="1" s="1"/>
  <c r="BB33" i="1" s="1"/>
  <c r="M23" i="1"/>
  <c r="G8" i="1"/>
  <c r="J8" i="1" s="1"/>
  <c r="B23" i="1"/>
  <c r="BT5" i="1" l="1"/>
  <c r="BE33" i="1"/>
  <c r="BG33" i="1"/>
  <c r="BL33" i="1" s="1"/>
  <c r="AJ51" i="1" l="1"/>
  <c r="AJ24" i="1"/>
  <c r="AU24" i="1"/>
  <c r="Q42" i="1" l="1"/>
  <c r="G29" i="1" l="1"/>
  <c r="J29" i="1" s="1"/>
  <c r="J38" i="1" s="1"/>
  <c r="G51" i="1" l="1"/>
  <c r="J51" i="1" l="1"/>
  <c r="L51" i="1" s="1"/>
  <c r="P51" i="1" s="1"/>
  <c r="O23" i="1"/>
  <c r="Q23" i="1"/>
  <c r="T23" i="1"/>
  <c r="T30" i="1" s="1"/>
  <c r="V23" i="1"/>
  <c r="AA23" i="1"/>
  <c r="AC23" i="1"/>
  <c r="AF23" i="1"/>
  <c r="AH23" i="1"/>
  <c r="AM23" i="1"/>
  <c r="AO23" i="1"/>
  <c r="AR23" i="1"/>
  <c r="AT23" i="1"/>
  <c r="AY23" i="1"/>
  <c r="BD23" i="1"/>
  <c r="BF23" i="1"/>
  <c r="BI23" i="1"/>
  <c r="BK23" i="1"/>
  <c r="BM23" i="1"/>
  <c r="BN23" i="1"/>
  <c r="BP23" i="1"/>
  <c r="BQ23" i="1"/>
  <c r="BQ48" i="1" s="1"/>
  <c r="BR23" i="1"/>
  <c r="C23" i="1"/>
  <c r="C30" i="1" s="1"/>
  <c r="D23" i="1"/>
  <c r="D48" i="1" s="1"/>
  <c r="E23" i="1"/>
  <c r="E48" i="1" s="1"/>
  <c r="F23" i="1"/>
  <c r="F48" i="1" s="1"/>
  <c r="I23" i="1"/>
  <c r="I30" i="1" s="1"/>
  <c r="K31" i="1" s="1"/>
  <c r="K23" i="1"/>
  <c r="B48" i="1"/>
  <c r="B50" i="1" s="1"/>
  <c r="D30" i="1" l="1"/>
  <c r="F49" i="1"/>
  <c r="F50" i="1" s="1"/>
  <c r="E31" i="1"/>
  <c r="G30" i="1"/>
  <c r="J30" i="1" s="1"/>
  <c r="E39" i="1"/>
  <c r="C48" i="1"/>
  <c r="G48" i="1" s="1"/>
  <c r="K39" i="1"/>
  <c r="K48" i="1"/>
  <c r="I48" i="1"/>
  <c r="K49" i="1" s="1"/>
  <c r="K50" i="1" s="1"/>
  <c r="M48" i="1" l="1"/>
  <c r="M49" i="1" s="1"/>
  <c r="M50" i="1" s="1"/>
  <c r="F31" i="1"/>
  <c r="F32" i="1" s="1"/>
  <c r="K32" i="1" s="1"/>
  <c r="M30" i="1"/>
  <c r="E49" i="1"/>
  <c r="E50" i="1" s="1"/>
  <c r="BG24" i="1"/>
  <c r="BB24" i="1"/>
  <c r="AV24" i="1"/>
  <c r="AP24" i="1"/>
  <c r="BH24" i="1" l="1"/>
  <c r="Y21" i="1" l="1"/>
  <c r="AO38" i="1"/>
  <c r="Y51" i="1"/>
  <c r="L29" i="1"/>
  <c r="F42" i="1"/>
  <c r="M42" i="1" s="1"/>
  <c r="E38" i="1"/>
  <c r="E40" i="1" s="1"/>
  <c r="Y5" i="1"/>
  <c r="Y18" i="1"/>
  <c r="Y22" i="1"/>
  <c r="G7" i="1"/>
  <c r="J7" i="1" s="1"/>
  <c r="G15" i="1"/>
  <c r="J15" i="1" s="1"/>
  <c r="G22" i="1"/>
  <c r="J22" i="1" s="1"/>
  <c r="G19" i="1"/>
  <c r="J19" i="1" s="1"/>
  <c r="G18" i="1"/>
  <c r="J18" i="1" s="1"/>
  <c r="G17" i="1"/>
  <c r="J17" i="1" s="1"/>
  <c r="G16" i="1"/>
  <c r="J16" i="1" s="1"/>
  <c r="G14" i="1"/>
  <c r="J14" i="1" s="1"/>
  <c r="G13" i="1"/>
  <c r="J13" i="1" s="1"/>
  <c r="G12" i="1"/>
  <c r="J12" i="1" s="1"/>
  <c r="G11" i="1"/>
  <c r="J11" i="1" s="1"/>
  <c r="G10" i="1"/>
  <c r="J10" i="1" s="1"/>
  <c r="G9" i="1"/>
  <c r="J9" i="1" s="1"/>
  <c r="BS23" i="1"/>
  <c r="B32" i="1"/>
  <c r="E32" i="1" s="1"/>
  <c r="AH38" i="1"/>
  <c r="Q38" i="1"/>
  <c r="BU48" i="1"/>
  <c r="BR48" i="1"/>
  <c r="BR50" i="1" s="1"/>
  <c r="BP48" i="1"/>
  <c r="BM48" i="1"/>
  <c r="BK48" i="1"/>
  <c r="BU47" i="1"/>
  <c r="BS47" i="1"/>
  <c r="BR41" i="1"/>
  <c r="BM41" i="1"/>
  <c r="BV39" i="1"/>
  <c r="BU39" i="1"/>
  <c r="BS39" i="1"/>
  <c r="BS41" i="1" s="1"/>
  <c r="BN39" i="1"/>
  <c r="BN41" i="1" s="1"/>
  <c r="BF42" i="1"/>
  <c r="BA42" i="1"/>
  <c r="AT42" i="1"/>
  <c r="AO42" i="1"/>
  <c r="AH42" i="1"/>
  <c r="AC42" i="1"/>
  <c r="V42" i="1"/>
  <c r="X42" i="1" s="1"/>
  <c r="K42" i="1"/>
  <c r="BQ38" i="1"/>
  <c r="BF38" i="1"/>
  <c r="BA38" i="1"/>
  <c r="AT38" i="1"/>
  <c r="AC38" i="1"/>
  <c r="K38" i="1"/>
  <c r="K40" i="1" s="1"/>
  <c r="F38" i="1"/>
  <c r="B38" i="1"/>
  <c r="B39" i="1" s="1"/>
  <c r="BR32" i="1"/>
  <c r="BM32" i="1"/>
  <c r="V38" i="1"/>
  <c r="BU5" i="1"/>
  <c r="BU6" i="1"/>
  <c r="BU18" i="1"/>
  <c r="BU19" i="1"/>
  <c r="BU20" i="1"/>
  <c r="BU22" i="1"/>
  <c r="BU29" i="1"/>
  <c r="M24" i="1"/>
  <c r="BT24" i="1" s="1"/>
  <c r="G38" i="1" l="1"/>
  <c r="M38" i="1"/>
  <c r="X38" i="1"/>
  <c r="AV38" i="1"/>
  <c r="AJ38" i="1"/>
  <c r="P29" i="1"/>
  <c r="BH38" i="1"/>
  <c r="E41" i="1"/>
  <c r="AV42" i="1"/>
  <c r="AJ42" i="1"/>
  <c r="L11" i="1"/>
  <c r="P11" i="1" s="1"/>
  <c r="L15" i="1"/>
  <c r="P15" i="1" s="1"/>
  <c r="L8" i="1"/>
  <c r="P8" i="1" s="1"/>
  <c r="L12" i="1"/>
  <c r="P12" i="1" s="1"/>
  <c r="L17" i="1"/>
  <c r="P17" i="1" s="1"/>
  <c r="L7" i="1"/>
  <c r="P7" i="1" s="1"/>
  <c r="L5" i="1"/>
  <c r="N5" i="1" s="1"/>
  <c r="L16" i="1"/>
  <c r="P16" i="1" s="1"/>
  <c r="L13" i="1"/>
  <c r="P13" i="1" s="1"/>
  <c r="L18" i="1"/>
  <c r="P18" i="1" s="1"/>
  <c r="L22" i="1"/>
  <c r="P22" i="1" s="1"/>
  <c r="G42" i="1"/>
  <c r="J42" i="1" s="1"/>
  <c r="L10" i="1"/>
  <c r="P10" i="1" s="1"/>
  <c r="L14" i="1"/>
  <c r="P14" i="1" s="1"/>
  <c r="L19" i="1"/>
  <c r="P19" i="1" s="1"/>
  <c r="BH42" i="1"/>
  <c r="Y42" i="1"/>
  <c r="L9" i="1"/>
  <c r="P9" i="1" s="1"/>
  <c r="BU23" i="1"/>
  <c r="Y20" i="1"/>
  <c r="Y16" i="1"/>
  <c r="Y13" i="1"/>
  <c r="AK51" i="1"/>
  <c r="AW51" i="1" s="1"/>
  <c r="G6" i="1"/>
  <c r="J6" i="1" s="1"/>
  <c r="Y15" i="1"/>
  <c r="Y29" i="1"/>
  <c r="AK29" i="1" s="1"/>
  <c r="AW29" i="1" s="1"/>
  <c r="Y9" i="1"/>
  <c r="Y24" i="1"/>
  <c r="R51" i="1"/>
  <c r="U51" i="1" s="1"/>
  <c r="W51" i="1" s="1"/>
  <c r="B41" i="1"/>
  <c r="BU38" i="1"/>
  <c r="BU41" i="1" s="1"/>
  <c r="L47" i="1"/>
  <c r="P47" i="1" s="1"/>
  <c r="BU50" i="1"/>
  <c r="Y19" i="1"/>
  <c r="Y11" i="1"/>
  <c r="R29" i="1" l="1"/>
  <c r="U29" i="1" s="1"/>
  <c r="R47" i="1"/>
  <c r="U47" i="1" s="1"/>
  <c r="AB51" i="1"/>
  <c r="AD51" i="1"/>
  <c r="AG51" i="1" s="1"/>
  <c r="AI51" i="1" s="1"/>
  <c r="H23" i="1"/>
  <c r="H48" i="1" s="1"/>
  <c r="R8" i="1"/>
  <c r="U8" i="1" s="1"/>
  <c r="R19" i="1"/>
  <c r="U19" i="1" s="1"/>
  <c r="R15" i="1"/>
  <c r="U15" i="1" s="1"/>
  <c r="R18" i="1"/>
  <c r="U18" i="1" s="1"/>
  <c r="R17" i="1"/>
  <c r="U17" i="1" s="1"/>
  <c r="R10" i="1"/>
  <c r="U10" i="1" s="1"/>
  <c r="R7" i="1"/>
  <c r="U7" i="1" s="1"/>
  <c r="R12" i="1"/>
  <c r="U12" i="1" s="1"/>
  <c r="R11" i="1"/>
  <c r="U11" i="1" s="1"/>
  <c r="R22" i="1"/>
  <c r="U22" i="1" s="1"/>
  <c r="R16" i="1"/>
  <c r="U16" i="1" s="1"/>
  <c r="R14" i="1"/>
  <c r="U14" i="1" s="1"/>
  <c r="R13" i="1"/>
  <c r="U13" i="1" s="1"/>
  <c r="P38" i="1"/>
  <c r="W29" i="1"/>
  <c r="AB29" i="1" s="1"/>
  <c r="G23" i="1"/>
  <c r="J23" i="1"/>
  <c r="J48" i="1" s="1"/>
  <c r="J39" i="1" s="1"/>
  <c r="J40" i="1" s="1"/>
  <c r="J41" i="1" s="1"/>
  <c r="Y47" i="1"/>
  <c r="L38" i="1"/>
  <c r="AK42" i="1"/>
  <c r="AW42" i="1" s="1"/>
  <c r="L42" i="1"/>
  <c r="P42" i="1" s="1"/>
  <c r="R9" i="1"/>
  <c r="U9" i="1" s="1"/>
  <c r="AK24" i="1"/>
  <c r="AW24" i="1" s="1"/>
  <c r="BI29" i="1"/>
  <c r="J49" i="1" l="1"/>
  <c r="J50" i="1" s="1"/>
  <c r="H30" i="1"/>
  <c r="L30" i="1" s="1"/>
  <c r="P30" i="1" s="1"/>
  <c r="L48" i="1"/>
  <c r="AD29" i="1"/>
  <c r="AG29" i="1" s="1"/>
  <c r="W16" i="1"/>
  <c r="AB16" i="1" s="1"/>
  <c r="W10" i="1"/>
  <c r="AB10" i="1" s="1"/>
  <c r="W22" i="1"/>
  <c r="AB22" i="1" s="1"/>
  <c r="W7" i="1"/>
  <c r="AB7" i="1" s="1"/>
  <c r="W13" i="1"/>
  <c r="AB13" i="1" s="1"/>
  <c r="W14" i="1"/>
  <c r="AB14" i="1" s="1"/>
  <c r="W11" i="1"/>
  <c r="AB11" i="1" s="1"/>
  <c r="W17" i="1"/>
  <c r="AB17" i="1" s="1"/>
  <c r="W19" i="1"/>
  <c r="AB19" i="1" s="1"/>
  <c r="W15" i="1"/>
  <c r="AB15" i="1" s="1"/>
  <c r="W12" i="1"/>
  <c r="AB12" i="1" s="1"/>
  <c r="W18" i="1"/>
  <c r="AB18" i="1" s="1"/>
  <c r="W8" i="1"/>
  <c r="AB8" i="1" s="1"/>
  <c r="N23" i="1"/>
  <c r="N48" i="1" s="1"/>
  <c r="W9" i="1"/>
  <c r="AB9" i="1" s="1"/>
  <c r="L6" i="1"/>
  <c r="P6" i="1" s="1"/>
  <c r="R38" i="1"/>
  <c r="AN51" i="1"/>
  <c r="AP51" i="1" s="1"/>
  <c r="AS51" i="1" s="1"/>
  <c r="AU51" i="1" s="1"/>
  <c r="AZ51" i="1" s="1"/>
  <c r="R5" i="1"/>
  <c r="S5" i="1" s="1"/>
  <c r="W5" i="1" s="1"/>
  <c r="Z5" i="1" s="1"/>
  <c r="W47" i="1"/>
  <c r="U38" i="1"/>
  <c r="W38" i="1" s="1"/>
  <c r="N30" i="1" l="1"/>
  <c r="P31" i="1" s="1"/>
  <c r="P32" i="1" s="1"/>
  <c r="AB47" i="1"/>
  <c r="AB38" i="1" s="1"/>
  <c r="J31" i="1"/>
  <c r="J32" i="1" s="1"/>
  <c r="Y38" i="1"/>
  <c r="L39" i="1"/>
  <c r="AI29" i="1"/>
  <c r="AN29" i="1" s="1"/>
  <c r="AD9" i="1"/>
  <c r="AG9" i="1" s="1"/>
  <c r="AD7" i="1"/>
  <c r="L23" i="1"/>
  <c r="R6" i="1"/>
  <c r="P23" i="1"/>
  <c r="P48" i="1" s="1"/>
  <c r="P49" i="1" s="1"/>
  <c r="P50" i="1" s="1"/>
  <c r="BB51" i="1"/>
  <c r="BI42" i="1"/>
  <c r="AG7" i="1" l="1"/>
  <c r="AI7" i="1" s="1"/>
  <c r="AN7" i="1" s="1"/>
  <c r="AP7" i="1" s="1"/>
  <c r="AS7" i="1" s="1"/>
  <c r="AU7" i="1" s="1"/>
  <c r="AZ7" i="1" s="1"/>
  <c r="R23" i="1"/>
  <c r="U6" i="1"/>
  <c r="AD47" i="1"/>
  <c r="AG47" i="1" s="1"/>
  <c r="P39" i="1"/>
  <c r="P40" i="1" s="1"/>
  <c r="M31" i="1"/>
  <c r="M32" i="1" s="1"/>
  <c r="AP29" i="1"/>
  <c r="BE51" i="1"/>
  <c r="BG51" i="1" s="1"/>
  <c r="BL51" i="1" s="1"/>
  <c r="AK21" i="1"/>
  <c r="AK15" i="1"/>
  <c r="S23" i="1"/>
  <c r="AD16" i="1"/>
  <c r="AG16" i="1" s="1"/>
  <c r="AD14" i="1"/>
  <c r="AG14" i="1" s="1"/>
  <c r="AD18" i="1"/>
  <c r="AG18" i="1" s="1"/>
  <c r="AD13" i="1"/>
  <c r="AG13" i="1" s="1"/>
  <c r="AD15" i="1"/>
  <c r="AG15" i="1" s="1"/>
  <c r="AD22" i="1"/>
  <c r="AK18" i="1"/>
  <c r="AK20" i="1"/>
  <c r="AK11" i="1"/>
  <c r="AK16" i="1"/>
  <c r="AK13" i="1"/>
  <c r="AK19" i="1"/>
  <c r="AW19" i="1" s="1"/>
  <c r="U23" i="1"/>
  <c r="AK9" i="1"/>
  <c r="AD19" i="1"/>
  <c r="AG19" i="1" s="1"/>
  <c r="AD12" i="1"/>
  <c r="AG12" i="1" s="1"/>
  <c r="AD10" i="1"/>
  <c r="AG10" i="1" s="1"/>
  <c r="AD11" i="1"/>
  <c r="AG11" i="1" s="1"/>
  <c r="AD8" i="1"/>
  <c r="AG8" i="1" s="1"/>
  <c r="AD17" i="1"/>
  <c r="AG17" i="1" s="1"/>
  <c r="AK47" i="1"/>
  <c r="X23" i="1"/>
  <c r="Y6" i="1"/>
  <c r="AD38" i="1"/>
  <c r="BV51" i="1"/>
  <c r="BI51" i="1"/>
  <c r="AG38" i="1"/>
  <c r="AK22" i="1" l="1"/>
  <c r="AG22" i="1"/>
  <c r="AI47" i="1"/>
  <c r="AN47" i="1" s="1"/>
  <c r="BB29" i="1"/>
  <c r="AS29" i="1"/>
  <c r="AU29" i="1" s="1"/>
  <c r="AZ29" i="1" s="1"/>
  <c r="AI9" i="1"/>
  <c r="AN9" i="1" s="1"/>
  <c r="AI38" i="1"/>
  <c r="AI22" i="1"/>
  <c r="AN22" i="1" s="1"/>
  <c r="AW22" i="1" s="1"/>
  <c r="AI19" i="1"/>
  <c r="AN19" i="1" s="1"/>
  <c r="AI18" i="1"/>
  <c r="AN18" i="1" s="1"/>
  <c r="AI17" i="1"/>
  <c r="AI16" i="1"/>
  <c r="AI15" i="1"/>
  <c r="AN15" i="1" s="1"/>
  <c r="AI14" i="1"/>
  <c r="AN14" i="1" s="1"/>
  <c r="AI13" i="1"/>
  <c r="AN13" i="1" s="1"/>
  <c r="AI12" i="1"/>
  <c r="AN12" i="1" s="1"/>
  <c r="AI11" i="1"/>
  <c r="AN11" i="1" s="1"/>
  <c r="AI10" i="1"/>
  <c r="AN10" i="1" s="1"/>
  <c r="AI8" i="1"/>
  <c r="AN8" i="1" s="1"/>
  <c r="BB7" i="1"/>
  <c r="BE7" i="1" s="1"/>
  <c r="W6" i="1"/>
  <c r="AB6" i="1" s="1"/>
  <c r="AW47" i="1"/>
  <c r="AW15" i="1"/>
  <c r="AK38" i="1"/>
  <c r="AK5" i="1"/>
  <c r="AW5" i="1" s="1"/>
  <c r="Y23" i="1"/>
  <c r="Z23" i="1"/>
  <c r="AP47" i="1" l="1"/>
  <c r="AS47" i="1" s="1"/>
  <c r="AU47" i="1" s="1"/>
  <c r="AZ47" i="1" s="1"/>
  <c r="AN17" i="1"/>
  <c r="AP17" i="1" s="1"/>
  <c r="AS17" i="1" s="1"/>
  <c r="AU17" i="1" s="1"/>
  <c r="AZ17" i="1" s="1"/>
  <c r="AW16" i="1"/>
  <c r="AN16" i="1"/>
  <c r="AN38" i="1"/>
  <c r="BE29" i="1"/>
  <c r="AW9" i="1"/>
  <c r="AP9" i="1"/>
  <c r="AS9" i="1" s="1"/>
  <c r="AU9" i="1" s="1"/>
  <c r="AZ9" i="1" s="1"/>
  <c r="AZ42" i="1"/>
  <c r="AP22" i="1"/>
  <c r="AS22" i="1" s="1"/>
  <c r="AP19" i="1"/>
  <c r="AS19" i="1" s="1"/>
  <c r="AP16" i="1"/>
  <c r="AS16" i="1" s="1"/>
  <c r="AP14" i="1"/>
  <c r="AS14" i="1" s="1"/>
  <c r="BB9" i="1"/>
  <c r="BG7" i="1"/>
  <c r="W23" i="1"/>
  <c r="AW21" i="1"/>
  <c r="AW18" i="1"/>
  <c r="AP18" i="1"/>
  <c r="AS18" i="1" s="1"/>
  <c r="AP15" i="1"/>
  <c r="AS15" i="1" s="1"/>
  <c r="AW20" i="1"/>
  <c r="AW13" i="1"/>
  <c r="AP13" i="1"/>
  <c r="AS13" i="1" s="1"/>
  <c r="AP12" i="1"/>
  <c r="AS12" i="1" s="1"/>
  <c r="AP11" i="1"/>
  <c r="AP10" i="1"/>
  <c r="AS10" i="1" s="1"/>
  <c r="AK6" i="1"/>
  <c r="AB23" i="1"/>
  <c r="AB48" i="1" s="1"/>
  <c r="AD6" i="1"/>
  <c r="AG6" i="1" s="1"/>
  <c r="AD5" i="1"/>
  <c r="AE5" i="1" s="1"/>
  <c r="AP38" i="1"/>
  <c r="AW11" i="1" l="1"/>
  <c r="AS11" i="1"/>
  <c r="AU11" i="1" s="1"/>
  <c r="AZ11" i="1" s="1"/>
  <c r="BG9" i="1"/>
  <c r="BE9" i="1"/>
  <c r="BB47" i="1"/>
  <c r="BE47" i="1" s="1"/>
  <c r="AZ38" i="1"/>
  <c r="BG29" i="1"/>
  <c r="BL29" i="1" s="1"/>
  <c r="BT29" i="1" s="1"/>
  <c r="BV29" i="1" s="1"/>
  <c r="BV32" i="1" s="1"/>
  <c r="AS38" i="1"/>
  <c r="BT7" i="1"/>
  <c r="BL7" i="1"/>
  <c r="BL9" i="1"/>
  <c r="BT9" i="1" s="1"/>
  <c r="AP8" i="1"/>
  <c r="AS8" i="1" s="1"/>
  <c r="AU8" i="1" s="1"/>
  <c r="AZ8" i="1" s="1"/>
  <c r="AU22" i="1"/>
  <c r="AZ22" i="1" s="1"/>
  <c r="AU19" i="1"/>
  <c r="AU18" i="1"/>
  <c r="AZ18" i="1" s="1"/>
  <c r="BB17" i="1"/>
  <c r="BE17" i="1" s="1"/>
  <c r="AU16" i="1"/>
  <c r="AU15" i="1"/>
  <c r="AZ15" i="1" s="1"/>
  <c r="BB15" i="1" s="1"/>
  <c r="BE15" i="1" s="1"/>
  <c r="AU14" i="1"/>
  <c r="AU13" i="1"/>
  <c r="AZ13" i="1" s="1"/>
  <c r="AU12" i="1"/>
  <c r="AZ12" i="1" s="1"/>
  <c r="AU10" i="1"/>
  <c r="BB8" i="1"/>
  <c r="BE8" i="1" s="1"/>
  <c r="AJ23" i="1"/>
  <c r="AD23" i="1"/>
  <c r="AW38" i="1"/>
  <c r="AE23" i="1"/>
  <c r="AZ19" i="1" l="1"/>
  <c r="BB19" i="1" s="1"/>
  <c r="BE19" i="1" s="1"/>
  <c r="BG19" i="1" s="1"/>
  <c r="AZ10" i="1"/>
  <c r="BB10" i="1" s="1"/>
  <c r="BE10" i="1" s="1"/>
  <c r="BG10" i="1" s="1"/>
  <c r="BB14" i="1"/>
  <c r="BE14" i="1" s="1"/>
  <c r="BG14" i="1" s="1"/>
  <c r="AZ14" i="1"/>
  <c r="AU38" i="1"/>
  <c r="BB16" i="1"/>
  <c r="BE16" i="1" s="1"/>
  <c r="AZ16" i="1"/>
  <c r="BG47" i="1"/>
  <c r="BL47" i="1" s="1"/>
  <c r="BE38" i="1"/>
  <c r="BG38" i="1" s="1"/>
  <c r="BB22" i="1"/>
  <c r="BE22" i="1" s="1"/>
  <c r="BB18" i="1"/>
  <c r="BE18" i="1" s="1"/>
  <c r="BG16" i="1"/>
  <c r="BG15" i="1"/>
  <c r="BB13" i="1"/>
  <c r="BE13" i="1" s="1"/>
  <c r="BB12" i="1"/>
  <c r="BE12" i="1" s="1"/>
  <c r="BB11" i="1"/>
  <c r="BG8" i="1"/>
  <c r="AK23" i="1"/>
  <c r="AG23" i="1"/>
  <c r="AG48" i="1" s="1"/>
  <c r="AI6" i="1"/>
  <c r="AN6" i="1" s="1"/>
  <c r="AI5" i="1"/>
  <c r="AL5" i="1" s="1"/>
  <c r="BI47" i="1"/>
  <c r="BB38" i="1"/>
  <c r="BT47" i="1" l="1"/>
  <c r="BL38" i="1"/>
  <c r="BT38" i="1" s="1"/>
  <c r="BE11" i="1"/>
  <c r="BG11" i="1" s="1"/>
  <c r="BL11" i="1" s="1"/>
  <c r="BT11" i="1" s="1"/>
  <c r="BL19" i="1"/>
  <c r="BT19" i="1" s="1"/>
  <c r="BV19" i="1" s="1"/>
  <c r="BL16" i="1"/>
  <c r="BT16" i="1" s="1"/>
  <c r="BL15" i="1"/>
  <c r="BT15" i="1" s="1"/>
  <c r="BT14" i="1"/>
  <c r="BL14" i="1"/>
  <c r="BL10" i="1"/>
  <c r="BT10" i="1" s="1"/>
  <c r="BL8" i="1"/>
  <c r="BT8" i="1" s="1"/>
  <c r="BG17" i="1"/>
  <c r="AV23" i="1"/>
  <c r="AW6" i="1"/>
  <c r="AW23" i="1" s="1"/>
  <c r="BG22" i="1"/>
  <c r="BL22" i="1" s="1"/>
  <c r="BG18" i="1"/>
  <c r="BG13" i="1"/>
  <c r="BG12" i="1"/>
  <c r="AI23" i="1"/>
  <c r="BN47" i="1"/>
  <c r="BV47" i="1"/>
  <c r="AL23" i="1"/>
  <c r="BI38" i="1"/>
  <c r="BL18" i="1" l="1"/>
  <c r="BT18" i="1" s="1"/>
  <c r="BV18" i="1" s="1"/>
  <c r="BL17" i="1"/>
  <c r="BT17" i="1" s="1"/>
  <c r="BL13" i="1"/>
  <c r="BT13" i="1" s="1"/>
  <c r="BL12" i="1"/>
  <c r="BT12" i="1" s="1"/>
  <c r="BT22" i="1"/>
  <c r="BV20" i="1"/>
  <c r="AN23" i="1"/>
  <c r="AN48" i="1" s="1"/>
  <c r="AP6" i="1"/>
  <c r="AS6" i="1" s="1"/>
  <c r="AP5" i="1"/>
  <c r="AQ5" i="1" s="1"/>
  <c r="AL48" i="1"/>
  <c r="AN49" i="1" s="1"/>
  <c r="BV38" i="1"/>
  <c r="BV41" i="1" s="1"/>
  <c r="V48" i="1"/>
  <c r="BU30" i="1"/>
  <c r="BF48" i="1"/>
  <c r="T48" i="1"/>
  <c r="BN30" i="1"/>
  <c r="BN32" i="1" s="1"/>
  <c r="AT48" i="1"/>
  <c r="AT39" i="1" s="1"/>
  <c r="AT40" i="1" s="1"/>
  <c r="AE48" i="1"/>
  <c r="AG49" i="1" s="1"/>
  <c r="Q48" i="1"/>
  <c r="AR48" i="1"/>
  <c r="BO48" i="1"/>
  <c r="BQ49" i="1" s="1"/>
  <c r="BA48" i="1"/>
  <c r="BD48" i="1"/>
  <c r="BF49" i="1" s="1"/>
  <c r="O48" i="1"/>
  <c r="Q49" i="1" s="1"/>
  <c r="Q50" i="1" s="1"/>
  <c r="BF39" i="1"/>
  <c r="BF40" i="1" s="1"/>
  <c r="F39" i="1"/>
  <c r="AO48" i="1"/>
  <c r="BS30" i="1"/>
  <c r="BS32" i="1" s="1"/>
  <c r="AY48" i="1"/>
  <c r="Q39" i="1"/>
  <c r="S48" i="1"/>
  <c r="AC48" i="1"/>
  <c r="AC39" i="1" s="1"/>
  <c r="V39" i="1"/>
  <c r="V40" i="1" s="1"/>
  <c r="AA48" i="1"/>
  <c r="AF48" i="1"/>
  <c r="BQ39" i="1"/>
  <c r="BQ40" i="1" s="1"/>
  <c r="AH48" i="1"/>
  <c r="AM48" i="1"/>
  <c r="Z48" i="1"/>
  <c r="BA39" i="1"/>
  <c r="BH39" i="1" l="1"/>
  <c r="BH40" i="1" s="1"/>
  <c r="BA40" i="1"/>
  <c r="AH49" i="1"/>
  <c r="V49" i="1"/>
  <c r="V50" i="1" s="1"/>
  <c r="BH48" i="1"/>
  <c r="BH49" i="1" s="1"/>
  <c r="BA49" i="1"/>
  <c r="AR30" i="1"/>
  <c r="AT31" i="1" s="1"/>
  <c r="AT49" i="1"/>
  <c r="AD48" i="1"/>
  <c r="AB49" i="1"/>
  <c r="AB50" i="1" s="1"/>
  <c r="AO49" i="1"/>
  <c r="AV48" i="1"/>
  <c r="AJ48" i="1"/>
  <c r="AJ49" i="1" s="1"/>
  <c r="AC49" i="1"/>
  <c r="AC50" i="1" s="1"/>
  <c r="X39" i="1"/>
  <c r="Q40" i="1"/>
  <c r="Q41" i="1" s="1"/>
  <c r="V41" i="1" s="1"/>
  <c r="M39" i="1"/>
  <c r="M40" i="1" s="1"/>
  <c r="M41" i="1" s="1"/>
  <c r="G39" i="1"/>
  <c r="F40" i="1"/>
  <c r="F41" i="1" s="1"/>
  <c r="K41" i="1" s="1"/>
  <c r="P41" i="1" s="1"/>
  <c r="R42" i="1" s="1"/>
  <c r="AC40" i="1"/>
  <c r="AM30" i="1"/>
  <c r="O30" i="1"/>
  <c r="X48" i="1"/>
  <c r="X49" i="1" s="1"/>
  <c r="X50" i="1" s="1"/>
  <c r="BO30" i="1"/>
  <c r="BQ31" i="1" s="1"/>
  <c r="AL30" i="1"/>
  <c r="AN31" i="1" s="1"/>
  <c r="BV22" i="1"/>
  <c r="AO39" i="1"/>
  <c r="AH39" i="1"/>
  <c r="AH40" i="1" s="1"/>
  <c r="R48" i="1"/>
  <c r="AP23" i="1"/>
  <c r="BD30" i="1"/>
  <c r="BF31" i="1" s="1"/>
  <c r="AQ23" i="1"/>
  <c r="BS48" i="1"/>
  <c r="BS50" i="1" s="1"/>
  <c r="AF30" i="1"/>
  <c r="AH31" i="1" s="1"/>
  <c r="AA30" i="1"/>
  <c r="Z30" i="1"/>
  <c r="AB31" i="1" s="1"/>
  <c r="AE30" i="1"/>
  <c r="AI48" i="1"/>
  <c r="AP48" i="1"/>
  <c r="S30" i="1"/>
  <c r="AY30" i="1"/>
  <c r="BH30" i="1" l="1"/>
  <c r="BH31" i="1" s="1"/>
  <c r="BA31" i="1"/>
  <c r="AV30" i="1"/>
  <c r="AO31" i="1"/>
  <c r="U42" i="1"/>
  <c r="W42" i="1"/>
  <c r="AJ30" i="1"/>
  <c r="AJ31" i="1" s="1"/>
  <c r="AC31" i="1"/>
  <c r="AV39" i="1"/>
  <c r="AV40" i="1" s="1"/>
  <c r="AO40" i="1"/>
  <c r="AJ39" i="1"/>
  <c r="AJ40" i="1" s="1"/>
  <c r="AH50" i="1"/>
  <c r="AN50" i="1" s="1"/>
  <c r="AI30" i="1"/>
  <c r="AG31" i="1"/>
  <c r="AC41" i="1"/>
  <c r="AH41" i="1" s="1"/>
  <c r="R30" i="1"/>
  <c r="X30" i="1"/>
  <c r="AJ50" i="1"/>
  <c r="X31" i="1"/>
  <c r="X32" i="1" s="1"/>
  <c r="U31" i="1"/>
  <c r="U32" i="1" s="1"/>
  <c r="W30" i="1"/>
  <c r="AB39" i="1" s="1"/>
  <c r="AB40" i="1" s="1"/>
  <c r="AB41" i="1" s="1"/>
  <c r="AS23" i="1"/>
  <c r="AS48" i="1" s="1"/>
  <c r="AU6" i="1"/>
  <c r="AZ6" i="1" s="1"/>
  <c r="Q31" i="1"/>
  <c r="Q32" i="1" s="1"/>
  <c r="V31" i="1" s="1"/>
  <c r="Y30" i="1"/>
  <c r="Y32" i="1" s="1"/>
  <c r="AU5" i="1"/>
  <c r="AQ48" i="1"/>
  <c r="AU48" i="1" s="1"/>
  <c r="AC32" i="1" l="1"/>
  <c r="AH32" i="1" s="1"/>
  <c r="AN32" i="1" s="1"/>
  <c r="AO41" i="1"/>
  <c r="AT41" i="1" s="1"/>
  <c r="AX5" i="1"/>
  <c r="AX23" i="1" s="1"/>
  <c r="AO50" i="1"/>
  <c r="AT50" i="1" s="1"/>
  <c r="BA50" i="1" s="1"/>
  <c r="BF50" i="1" s="1"/>
  <c r="AB42" i="1"/>
  <c r="AD42" i="1"/>
  <c r="AG42" i="1" s="1"/>
  <c r="AI42" i="1" s="1"/>
  <c r="AS49" i="1"/>
  <c r="AS50" i="1" s="1"/>
  <c r="AJ32" i="1"/>
  <c r="AD39" i="1"/>
  <c r="BH23" i="1"/>
  <c r="AU23" i="1"/>
  <c r="V32" i="1"/>
  <c r="AB32" i="1" s="1"/>
  <c r="AQ30" i="1"/>
  <c r="AK30" i="1"/>
  <c r="AN42" i="1" l="1"/>
  <c r="AS42" i="1" s="1"/>
  <c r="AU42" i="1" s="1"/>
  <c r="BB42" i="1" s="1"/>
  <c r="BE42" i="1" s="1"/>
  <c r="BG42" i="1" s="1"/>
  <c r="AP42" i="1"/>
  <c r="AO32" i="1"/>
  <c r="AT32" i="1" s="1"/>
  <c r="AG32" i="1"/>
  <c r="AS31" i="1"/>
  <c r="AS32" i="1" s="1"/>
  <c r="AU30" i="1"/>
  <c r="AV49" i="1"/>
  <c r="AV50" i="1" s="1"/>
  <c r="BH50" i="1" s="1"/>
  <c r="BB5" i="1"/>
  <c r="AX48" i="1"/>
  <c r="BB6" i="1"/>
  <c r="BE6" i="1" s="1"/>
  <c r="AZ23" i="1"/>
  <c r="AZ48" i="1" s="1"/>
  <c r="AG50" i="1"/>
  <c r="U39" i="1"/>
  <c r="AK32" i="1"/>
  <c r="BB48" i="1" l="1"/>
  <c r="AZ49" i="1"/>
  <c r="AZ50" i="1" s="1"/>
  <c r="AV31" i="1"/>
  <c r="AV32" i="1" s="1"/>
  <c r="U40" i="1"/>
  <c r="U41" i="1" s="1"/>
  <c r="X40" i="1"/>
  <c r="X41" i="1" s="1"/>
  <c r="AJ41" i="1" s="1"/>
  <c r="BC23" i="1"/>
  <c r="BC48" i="1" s="1"/>
  <c r="U48" i="1"/>
  <c r="U49" i="1" s="1"/>
  <c r="U50" i="1" s="1"/>
  <c r="R39" i="1"/>
  <c r="BB23" i="1"/>
  <c r="AX30" i="1"/>
  <c r="AZ31" i="1" s="1"/>
  <c r="AZ32" i="1" s="1"/>
  <c r="W39" i="1"/>
  <c r="AD30" i="1"/>
  <c r="BA32" i="1" l="1"/>
  <c r="BH32" i="1"/>
  <c r="W48" i="1"/>
  <c r="Y39" i="1"/>
  <c r="Y41" i="1" s="1"/>
  <c r="BE23" i="1"/>
  <c r="BE48" i="1" s="1"/>
  <c r="BE49" i="1" s="1"/>
  <c r="BE50" i="1" s="1"/>
  <c r="BG6" i="1"/>
  <c r="BC30" i="1"/>
  <c r="BE31" i="1" s="1"/>
  <c r="AG39" i="1"/>
  <c r="AG40" i="1" s="1"/>
  <c r="AG41" i="1" s="1"/>
  <c r="BE32" i="1" l="1"/>
  <c r="BF32" i="1"/>
  <c r="BL6" i="1"/>
  <c r="BT6" i="1" s="1"/>
  <c r="Y48" i="1"/>
  <c r="Y50" i="1" s="1"/>
  <c r="BJ48" i="1"/>
  <c r="AW30" i="1"/>
  <c r="AW32" i="1" s="1"/>
  <c r="BG48" i="1"/>
  <c r="BG23" i="1"/>
  <c r="AN39" i="1"/>
  <c r="AN40" i="1" s="1"/>
  <c r="AN41" i="1" s="1"/>
  <c r="AP30" i="1"/>
  <c r="AI39" i="1"/>
  <c r="BL23" i="1" l="1"/>
  <c r="AK39" i="1"/>
  <c r="AK41" i="1" s="1"/>
  <c r="AK48" i="1"/>
  <c r="AK50" i="1" s="1"/>
  <c r="BL48" i="1"/>
  <c r="BL49" i="1" s="1"/>
  <c r="BL50" i="1" s="1"/>
  <c r="BQ50" i="1" s="1"/>
  <c r="BJ30" i="1"/>
  <c r="BV5" i="1"/>
  <c r="AS39" i="1"/>
  <c r="AS40" i="1" s="1"/>
  <c r="AS41" i="1" s="1"/>
  <c r="AP39" i="1"/>
  <c r="BL31" i="1" l="1"/>
  <c r="BT30" i="1"/>
  <c r="BT31" i="1" s="1"/>
  <c r="BT32" i="1" s="1"/>
  <c r="BL32" i="1"/>
  <c r="BQ32" i="1" s="1"/>
  <c r="BT48" i="1"/>
  <c r="BT49" i="1" s="1"/>
  <c r="BT50" i="1" s="1"/>
  <c r="AV41" i="1"/>
  <c r="BA41" i="1" s="1"/>
  <c r="BF41" i="1" s="1"/>
  <c r="AW48" i="1"/>
  <c r="AW50" i="1" s="1"/>
  <c r="BN48" i="1"/>
  <c r="BV6" i="1"/>
  <c r="BV23" i="1" s="1"/>
  <c r="BT23" i="1"/>
  <c r="BE39" i="1"/>
  <c r="BE40" i="1" s="1"/>
  <c r="BE41" i="1" s="1"/>
  <c r="AU39" i="1"/>
  <c r="AZ39" i="1"/>
  <c r="AZ40" i="1" s="1"/>
  <c r="AZ41" i="1" s="1"/>
  <c r="AW39" i="1" l="1"/>
  <c r="AW41" i="1" s="1"/>
  <c r="BV50" i="1"/>
  <c r="BI48" i="1"/>
  <c r="BI50" i="1" s="1"/>
  <c r="BH41" i="1"/>
  <c r="BB30" i="1"/>
  <c r="BG30" i="1" s="1"/>
  <c r="BM49" i="1"/>
  <c r="BM50" i="1" s="1"/>
  <c r="BV30" i="1"/>
  <c r="BU32" i="1" s="1"/>
  <c r="BV48" i="1"/>
  <c r="BG39" i="1"/>
  <c r="BI30" i="1"/>
  <c r="BI32" i="1" s="1"/>
  <c r="BB39" i="1"/>
  <c r="BL39" i="1" l="1"/>
  <c r="BL40" i="1" s="1"/>
  <c r="BL41" i="1" s="1"/>
  <c r="BQ41" i="1" s="1"/>
  <c r="BI39" i="1"/>
  <c r="BI41" i="1" s="1"/>
  <c r="BT39" i="1" l="1"/>
  <c r="BT40" i="1" l="1"/>
  <c r="BT41" i="1" s="1"/>
</calcChain>
</file>

<file path=xl/sharedStrings.xml><?xml version="1.0" encoding="utf-8"?>
<sst xmlns="http://schemas.openxmlformats.org/spreadsheetml/2006/main" count="497" uniqueCount="56">
  <si>
    <t>ÓRGÃO</t>
  </si>
  <si>
    <t>ORÇAMENTO PREVISTO</t>
  </si>
  <si>
    <t>JANEIRO</t>
  </si>
  <si>
    <t xml:space="preserve">FEVEREIRO </t>
  </si>
  <si>
    <t>1º BIMESTRE</t>
  </si>
  <si>
    <t xml:space="preserve">MARÇO </t>
  </si>
  <si>
    <t xml:space="preserve">ABRIL </t>
  </si>
  <si>
    <t>2º BIMESTRE</t>
  </si>
  <si>
    <t>Saldo Acumulado</t>
  </si>
  <si>
    <t xml:space="preserve">MAIO </t>
  </si>
  <si>
    <t xml:space="preserve">JUNHO </t>
  </si>
  <si>
    <t>3º BIMESTRE</t>
  </si>
  <si>
    <t xml:space="preserve">JULHO </t>
  </si>
  <si>
    <t xml:space="preserve">AGOSTO </t>
  </si>
  <si>
    <t>4º BIMESTRE</t>
  </si>
  <si>
    <t xml:space="preserve">SETEMBRO </t>
  </si>
  <si>
    <t xml:space="preserve">OUTUBRO </t>
  </si>
  <si>
    <t>5º BIMESTRE</t>
  </si>
  <si>
    <t xml:space="preserve">NOVEMBRO </t>
  </si>
  <si>
    <t xml:space="preserve">DEZEMBRO </t>
  </si>
  <si>
    <t>TOTAL</t>
  </si>
  <si>
    <t>REPASSES</t>
  </si>
  <si>
    <t>LIQUIDADO</t>
  </si>
  <si>
    <t>Saldo</t>
  </si>
  <si>
    <t>Previsto</t>
  </si>
  <si>
    <t>Executado</t>
  </si>
  <si>
    <t>01. CMV</t>
  </si>
  <si>
    <t xml:space="preserve"> </t>
  </si>
  <si>
    <t>05. SMF</t>
  </si>
  <si>
    <t>07. SMED</t>
  </si>
  <si>
    <t xml:space="preserve">RESERVA </t>
  </si>
  <si>
    <t>Fluxo Financeiro
Recurso Livre</t>
  </si>
  <si>
    <t>Receita</t>
  </si>
  <si>
    <t>Despesa</t>
  </si>
  <si>
    <t>Fluxo Financeiro
Recurso Vinculado</t>
  </si>
  <si>
    <t>Superávit</t>
  </si>
  <si>
    <t>Fluxo Financeiro</t>
  </si>
  <si>
    <t>03. PGM</t>
  </si>
  <si>
    <t>04. SMG</t>
  </si>
  <si>
    <t>06. SMS</t>
  </si>
  <si>
    <t>14. SMU</t>
  </si>
  <si>
    <t>Atualizado</t>
  </si>
  <si>
    <t>02. CCI</t>
  </si>
  <si>
    <t>08. SMCEL</t>
  </si>
  <si>
    <t>09. SMDS</t>
  </si>
  <si>
    <t>10. SMDR</t>
  </si>
  <si>
    <t>11. SMDETI</t>
  </si>
  <si>
    <t>12. SMERU</t>
  </si>
  <si>
    <t>13. SMIS</t>
  </si>
  <si>
    <t>15. SMA</t>
  </si>
  <si>
    <t>16. IPASSP</t>
  </si>
  <si>
    <t>18. IPLAN</t>
  </si>
  <si>
    <t>19. ENC. GERAIS</t>
  </si>
  <si>
    <t>Resultado Financeiro Mês/Bimestre</t>
  </si>
  <si>
    <t>Saldo Atualizado</t>
  </si>
  <si>
    <t>ANEXO II - PROGRAMAÇÃO FINANCEIRA/ORÇAMENTÁRIA DE DESEMBOLSO –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</si>
</sst>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i/>
      <sz val="7"/>
      <name val="Calibri"/>
      <family val="2"/>
      <scheme val="minor"/>
    </font>
    <font>
      <i/>
      <sz val="7"/>
      <name val="Calibri"/>
      <family val="2"/>
      <scheme val="minor"/>
    </font>
    <font>
      <sz val="7"/>
      <color indexed="10"/>
      <name val="Calibri"/>
      <family val="2"/>
      <scheme val="minor"/>
    </font>
    <font>
      <b/>
      <sz val="7"/>
      <color indexed="10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0" fontId="1" fillId="2" borderId="1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Border="1" applyAlignment="1">
      <alignment vertical="center" wrapText="1"/>
    </xf>
    <xf numFmtId="0" fontId="3" fillId="0" borderId="0" xfId="0" applyFont="1"/>
    <xf numFmtId="40" fontId="4" fillId="2" borderId="1" xfId="0" applyNumberFormat="1" applyFont="1" applyFill="1" applyBorder="1" applyAlignment="1">
      <alignment horizontal="center" vertical="center" wrapText="1"/>
    </xf>
    <xf numFmtId="40" fontId="1" fillId="0" borderId="1" xfId="0" applyNumberFormat="1" applyFont="1" applyBorder="1" applyAlignment="1">
      <alignment vertical="center" wrapText="1"/>
    </xf>
    <xf numFmtId="40" fontId="2" fillId="0" borderId="1" xfId="0" applyNumberFormat="1" applyFont="1" applyBorder="1" applyAlignment="1">
      <alignment horizontal="center" wrapText="1"/>
    </xf>
    <xf numFmtId="40" fontId="1" fillId="0" borderId="1" xfId="0" applyNumberFormat="1" applyFont="1" applyBorder="1" applyAlignment="1">
      <alignment horizontal="center" wrapText="1"/>
    </xf>
    <xf numFmtId="40" fontId="2" fillId="0" borderId="1" xfId="0" applyNumberFormat="1" applyFont="1" applyBorder="1" applyAlignment="1">
      <alignment horizontal="center" vertical="center" wrapText="1"/>
    </xf>
    <xf numFmtId="40" fontId="1" fillId="0" borderId="1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vertical="center" wrapText="1"/>
    </xf>
    <xf numFmtId="40" fontId="4" fillId="0" borderId="1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wrapText="1"/>
    </xf>
    <xf numFmtId="40" fontId="4" fillId="0" borderId="1" xfId="0" applyNumberFormat="1" applyFont="1" applyBorder="1" applyAlignment="1">
      <alignment horizontal="center" wrapText="1"/>
    </xf>
    <xf numFmtId="40" fontId="1" fillId="0" borderId="1" xfId="0" applyNumberFormat="1" applyFont="1" applyBorder="1" applyAlignment="1">
      <alignment horizontal="left" vertical="center" wrapText="1"/>
    </xf>
    <xf numFmtId="40" fontId="1" fillId="0" borderId="1" xfId="0" applyNumberFormat="1" applyFont="1" applyBorder="1" applyAlignment="1">
      <alignment horizontal="right" vertical="center" wrapText="1"/>
    </xf>
    <xf numFmtId="40" fontId="1" fillId="0" borderId="0" xfId="0" applyNumberFormat="1" applyFont="1" applyBorder="1" applyAlignment="1">
      <alignment horizontal="center" vertical="center" wrapText="1"/>
    </xf>
    <xf numFmtId="40" fontId="6" fillId="0" borderId="0" xfId="0" applyNumberFormat="1" applyFont="1" applyBorder="1" applyAlignment="1">
      <alignment vertical="center" wrapText="1"/>
    </xf>
    <xf numFmtId="40" fontId="6" fillId="0" borderId="0" xfId="0" applyNumberFormat="1" applyFont="1" applyBorder="1" applyAlignment="1">
      <alignment horizontal="center" vertical="center" wrapText="1"/>
    </xf>
    <xf numFmtId="40" fontId="4" fillId="0" borderId="0" xfId="0" applyNumberFormat="1" applyFont="1" applyBorder="1" applyAlignment="1">
      <alignment horizontal="center" vertical="center" wrapText="1"/>
    </xf>
    <xf numFmtId="40" fontId="5" fillId="0" borderId="0" xfId="0" applyNumberFormat="1" applyFont="1" applyBorder="1" applyAlignment="1">
      <alignment horizontal="center" vertical="center" wrapText="1"/>
    </xf>
    <xf numFmtId="40" fontId="7" fillId="0" borderId="0" xfId="0" applyNumberFormat="1" applyFont="1" applyBorder="1" applyAlignment="1">
      <alignment horizontal="center" vertical="center" wrapText="1"/>
    </xf>
    <xf numFmtId="40" fontId="4" fillId="2" borderId="2" xfId="0" applyNumberFormat="1" applyFont="1" applyFill="1" applyBorder="1" applyAlignment="1">
      <alignment horizontal="center" vertical="center" wrapText="1"/>
    </xf>
    <xf numFmtId="40" fontId="4" fillId="0" borderId="2" xfId="0" applyNumberFormat="1" applyFont="1" applyBorder="1" applyAlignment="1">
      <alignment horizontal="center" vertical="center" wrapText="1"/>
    </xf>
    <xf numFmtId="40" fontId="2" fillId="0" borderId="0" xfId="0" applyNumberFormat="1" applyFont="1" applyBorder="1" applyAlignment="1">
      <alignment horizontal="center" vertical="center" wrapText="1"/>
    </xf>
    <xf numFmtId="40" fontId="1" fillId="2" borderId="3" xfId="0" applyNumberFormat="1" applyFont="1" applyFill="1" applyBorder="1" applyAlignment="1">
      <alignment horizontal="center" vertical="center" wrapText="1"/>
    </xf>
    <xf numFmtId="40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0" fontId="2" fillId="0" borderId="3" xfId="0" applyNumberFormat="1" applyFont="1" applyBorder="1" applyAlignment="1">
      <alignment horizontal="center" vertical="center" wrapText="1"/>
    </xf>
    <xf numFmtId="40" fontId="1" fillId="2" borderId="4" xfId="0" applyNumberFormat="1" applyFont="1" applyFill="1" applyBorder="1" applyAlignment="1">
      <alignment vertical="center" wrapText="1"/>
    </xf>
    <xf numFmtId="40" fontId="1" fillId="2" borderId="5" xfId="0" applyNumberFormat="1" applyFont="1" applyFill="1" applyBorder="1" applyAlignment="1">
      <alignment vertical="center" wrapText="1"/>
    </xf>
    <xf numFmtId="40" fontId="1" fillId="2" borderId="6" xfId="0" applyNumberFormat="1" applyFont="1" applyFill="1" applyBorder="1" applyAlignment="1">
      <alignment vertical="center" wrapText="1"/>
    </xf>
    <xf numFmtId="40" fontId="1" fillId="2" borderId="7" xfId="0" applyNumberFormat="1" applyFont="1" applyFill="1" applyBorder="1" applyAlignment="1">
      <alignment vertical="center" wrapText="1"/>
    </xf>
    <xf numFmtId="40" fontId="1" fillId="2" borderId="8" xfId="0" applyNumberFormat="1" applyFont="1" applyFill="1" applyBorder="1" applyAlignment="1">
      <alignment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2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10" xfId="0" applyNumberFormat="1" applyFont="1" applyFill="1" applyBorder="1" applyAlignment="1">
      <alignment horizontal="center" vertical="center" wrapText="1"/>
    </xf>
    <xf numFmtId="40" fontId="1" fillId="3" borderId="1" xfId="0" applyNumberFormat="1" applyFont="1" applyFill="1" applyBorder="1" applyAlignment="1">
      <alignment vertical="center" wrapText="1"/>
    </xf>
    <xf numFmtId="40" fontId="2" fillId="3" borderId="1" xfId="0" applyNumberFormat="1" applyFont="1" applyFill="1" applyBorder="1" applyAlignment="1">
      <alignment horizontal="center" wrapText="1"/>
    </xf>
    <xf numFmtId="40" fontId="1" fillId="3" borderId="1" xfId="0" applyNumberFormat="1" applyFont="1" applyFill="1" applyBorder="1" applyAlignment="1">
      <alignment horizontal="center" wrapText="1"/>
    </xf>
    <xf numFmtId="40" fontId="4" fillId="3" borderId="1" xfId="0" applyNumberFormat="1" applyFont="1" applyFill="1" applyBorder="1" applyAlignment="1">
      <alignment horizontal="center" wrapText="1"/>
    </xf>
    <xf numFmtId="40" fontId="5" fillId="3" borderId="1" xfId="0" applyNumberFormat="1" applyFont="1" applyFill="1" applyBorder="1" applyAlignment="1">
      <alignment horizontal="center" wrapText="1"/>
    </xf>
    <xf numFmtId="40" fontId="2" fillId="3" borderId="1" xfId="0" applyNumberFormat="1" applyFont="1" applyFill="1" applyBorder="1" applyAlignment="1">
      <alignment horizontal="center" vertical="center" wrapText="1"/>
    </xf>
    <xf numFmtId="40" fontId="5" fillId="3" borderId="1" xfId="0" applyNumberFormat="1" applyFont="1" applyFill="1" applyBorder="1" applyAlignment="1">
      <alignment horizontal="center" vertical="center" wrapText="1"/>
    </xf>
    <xf numFmtId="40" fontId="1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0" fontId="1" fillId="2" borderId="11" xfId="0" applyNumberFormat="1" applyFont="1" applyFill="1" applyBorder="1" applyAlignment="1">
      <alignment vertical="center" wrapText="1"/>
    </xf>
    <xf numFmtId="40" fontId="1" fillId="3" borderId="1" xfId="0" applyNumberFormat="1" applyFont="1" applyFill="1" applyBorder="1" applyAlignment="1">
      <alignment horizontal="left" vertical="center" wrapText="1"/>
    </xf>
    <xf numFmtId="40" fontId="4" fillId="3" borderId="1" xfId="0" applyNumberFormat="1" applyFont="1" applyFill="1" applyBorder="1" applyAlignment="1">
      <alignment horizontal="center" vertical="center" wrapText="1"/>
    </xf>
    <xf numFmtId="40" fontId="1" fillId="2" borderId="11" xfId="0" applyNumberFormat="1" applyFont="1" applyFill="1" applyBorder="1" applyAlignment="1">
      <alignment horizontal="center" vertical="center" wrapText="1"/>
    </xf>
    <xf numFmtId="40" fontId="1" fillId="2" borderId="4" xfId="0" applyNumberFormat="1" applyFont="1" applyFill="1" applyBorder="1" applyAlignment="1">
      <alignment horizontal="center" vertical="center" wrapText="1"/>
    </xf>
    <xf numFmtId="40" fontId="1" fillId="2" borderId="9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8" fillId="2" borderId="1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left" vertical="center" wrapText="1"/>
    </xf>
    <xf numFmtId="40" fontId="1" fillId="2" borderId="12" xfId="0" applyNumberFormat="1" applyFont="1" applyFill="1" applyBorder="1" applyAlignment="1">
      <alignment horizontal="center" vertical="center" wrapText="1"/>
    </xf>
    <xf numFmtId="40" fontId="1" fillId="2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5"/>
  <sheetViews>
    <sheetView tabSelected="1" zoomScale="120" zoomScaleNormal="120" zoomScaleSheetLayoutView="62" workbookViewId="0">
      <pane xSplit="2" ySplit="4" topLeftCell="BE22" activePane="bottomRight" state="frozen"/>
      <selection pane="topRight" activeCell="AN1" sqref="AN1"/>
      <selection pane="bottomLeft" activeCell="A5" sqref="A5"/>
      <selection pane="bottomRight" activeCell="BG48" sqref="BG48"/>
    </sheetView>
  </sheetViews>
  <sheetFormatPr defaultColWidth="7.7109375" defaultRowHeight="12.75" x14ac:dyDescent="0.2"/>
  <cols>
    <col min="1" max="1" width="12.5703125" style="2" customWidth="1"/>
    <col min="2" max="2" width="11.85546875" style="2" customWidth="1"/>
    <col min="3" max="3" width="10" style="2" customWidth="1"/>
    <col min="4" max="4" width="10.42578125" style="2" customWidth="1"/>
    <col min="5" max="5" width="10.5703125" style="2" customWidth="1"/>
    <col min="6" max="6" width="11.5703125" style="2" customWidth="1"/>
    <col min="7" max="7" width="11.140625" style="2" customWidth="1"/>
    <col min="8" max="8" width="10.28515625" style="24" customWidth="1"/>
    <col min="9" max="9" width="11.140625" style="24" customWidth="1"/>
    <col min="10" max="10" width="11.5703125" style="24" customWidth="1"/>
    <col min="11" max="11" width="12.85546875" style="20" customWidth="1"/>
    <col min="12" max="12" width="11.5703125" style="20" customWidth="1"/>
    <col min="13" max="13" width="10.7109375" style="19" customWidth="1"/>
    <col min="14" max="14" width="12.42578125" style="24" customWidth="1"/>
    <col min="15" max="15" width="12.85546875" style="24" customWidth="1"/>
    <col min="16" max="16" width="12.28515625" style="20" customWidth="1"/>
    <col min="17" max="18" width="12.85546875" style="19" customWidth="1"/>
    <col min="19" max="19" width="10.7109375" style="19" customWidth="1"/>
    <col min="20" max="20" width="11.28515625" style="24" customWidth="1"/>
    <col min="21" max="21" width="12" style="24" customWidth="1"/>
    <col min="22" max="22" width="12" style="20" customWidth="1"/>
    <col min="23" max="23" width="11.5703125" style="20" customWidth="1"/>
    <col min="24" max="24" width="12.42578125" style="19" customWidth="1"/>
    <col min="25" max="25" width="12.85546875" style="24" hidden="1" customWidth="1"/>
    <col min="26" max="26" width="10.28515625" style="24" customWidth="1"/>
    <col min="27" max="27" width="10.42578125" style="24" customWidth="1"/>
    <col min="28" max="29" width="12.85546875" style="24" customWidth="1"/>
    <col min="30" max="30" width="11.5703125" style="24" customWidth="1"/>
    <col min="31" max="31" width="12.85546875" style="24" customWidth="1"/>
    <col min="32" max="32" width="11.5703125" style="24" customWidth="1"/>
    <col min="33" max="33" width="12.85546875" style="24" customWidth="1"/>
    <col min="34" max="35" width="12.85546875" style="20" customWidth="1"/>
    <col min="36" max="36" width="12.85546875" style="19" customWidth="1"/>
    <col min="37" max="37" width="12.85546875" style="24" hidden="1" customWidth="1"/>
    <col min="38" max="38" width="11.28515625" style="24" customWidth="1"/>
    <col min="39" max="39" width="11.140625" style="20" customWidth="1"/>
    <col min="40" max="40" width="12.5703125" style="20" customWidth="1"/>
    <col min="41" max="41" width="11.42578125" style="20" customWidth="1"/>
    <col min="42" max="42" width="12.85546875" style="20" customWidth="1"/>
    <col min="43" max="43" width="11.7109375" style="20" customWidth="1"/>
    <col min="44" max="44" width="10.5703125" style="24" customWidth="1"/>
    <col min="45" max="45" width="12.85546875" style="24" customWidth="1"/>
    <col min="46" max="47" width="12.85546875" style="20" customWidth="1"/>
    <col min="48" max="48" width="11.5703125" style="19" customWidth="1"/>
    <col min="49" max="49" width="12.85546875" style="24" hidden="1" customWidth="1"/>
    <col min="50" max="50" width="11.42578125" style="24" customWidth="1"/>
    <col min="51" max="51" width="11.85546875" style="20" customWidth="1"/>
    <col min="52" max="53" width="12.85546875" style="20" customWidth="1"/>
    <col min="54" max="54" width="12" style="20" customWidth="1"/>
    <col min="55" max="55" width="12.85546875" style="20" customWidth="1"/>
    <col min="56" max="56" width="11.7109375" style="24" customWidth="1"/>
    <col min="57" max="57" width="12.85546875" style="24" customWidth="1"/>
    <col min="58" max="58" width="11" style="24" customWidth="1"/>
    <col min="59" max="59" width="12" style="24" customWidth="1"/>
    <col min="60" max="60" width="11" style="16" customWidth="1"/>
    <col min="61" max="61" width="12.85546875" style="24" hidden="1" customWidth="1"/>
    <col min="62" max="62" width="11.85546875" style="24" customWidth="1"/>
    <col min="63" max="63" width="12.85546875" style="20" hidden="1" customWidth="1"/>
    <col min="64" max="64" width="12.85546875" style="20" customWidth="1"/>
    <col min="65" max="66" width="12.85546875" style="20" hidden="1" customWidth="1"/>
    <col min="67" max="67" width="11.7109375" style="20" customWidth="1"/>
    <col min="68" max="68" width="12.85546875" style="24" hidden="1" customWidth="1"/>
    <col min="69" max="69" width="12.85546875" style="24" customWidth="1"/>
    <col min="70" max="71" width="0" style="24" hidden="1" customWidth="1"/>
    <col min="72" max="72" width="11.7109375" style="24" customWidth="1"/>
    <col min="73" max="74" width="7.7109375" style="24" hidden="1" customWidth="1"/>
    <col min="75" max="75" width="11.42578125" style="19" customWidth="1"/>
    <col min="76" max="76" width="12" style="2" customWidth="1"/>
    <col min="77" max="77" width="9.7109375" style="2" customWidth="1"/>
    <col min="78" max="253" width="7.7109375" style="2"/>
    <col min="254" max="16384" width="7.7109375" style="3"/>
  </cols>
  <sheetData>
    <row r="1" spans="1:254" s="2" customFormat="1" ht="11.1" customHeight="1" x14ac:dyDescent="0.2">
      <c r="A1" s="47"/>
      <c r="B1" s="29"/>
      <c r="C1" s="50" t="s">
        <v>55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29"/>
      <c r="Z1" s="51" t="s">
        <v>55</v>
      </c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29"/>
      <c r="AX1" s="51" t="s">
        <v>55</v>
      </c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2"/>
      <c r="BU1" s="1"/>
      <c r="BV1" s="1"/>
      <c r="IM1" s="3"/>
      <c r="IN1" s="3"/>
      <c r="IO1" s="3"/>
      <c r="IP1" s="3"/>
      <c r="IQ1" s="3"/>
      <c r="IR1" s="3"/>
      <c r="IS1" s="3"/>
      <c r="IT1" s="3"/>
    </row>
    <row r="2" spans="1:254" s="2" customFormat="1" ht="12.6" customHeight="1" x14ac:dyDescent="0.2">
      <c r="A2" s="53" t="s">
        <v>0</v>
      </c>
      <c r="B2" s="53" t="s">
        <v>1</v>
      </c>
      <c r="C2" s="53" t="s">
        <v>2</v>
      </c>
      <c r="D2" s="53"/>
      <c r="E2" s="53"/>
      <c r="F2" s="53"/>
      <c r="G2" s="1"/>
      <c r="H2" s="53" t="s">
        <v>3</v>
      </c>
      <c r="I2" s="53"/>
      <c r="J2" s="53"/>
      <c r="K2" s="53"/>
      <c r="L2" s="53"/>
      <c r="M2" s="54" t="s">
        <v>4</v>
      </c>
      <c r="N2" s="53" t="s">
        <v>5</v>
      </c>
      <c r="O2" s="53"/>
      <c r="P2" s="53"/>
      <c r="Q2" s="53"/>
      <c r="R2" s="53"/>
      <c r="S2" s="53" t="s">
        <v>6</v>
      </c>
      <c r="T2" s="53"/>
      <c r="U2" s="53"/>
      <c r="V2" s="53"/>
      <c r="W2" s="53"/>
      <c r="X2" s="54" t="s">
        <v>7</v>
      </c>
      <c r="Y2" s="54" t="s">
        <v>8</v>
      </c>
      <c r="Z2" s="53" t="s">
        <v>9</v>
      </c>
      <c r="AA2" s="53"/>
      <c r="AB2" s="53"/>
      <c r="AC2" s="53"/>
      <c r="AD2" s="53"/>
      <c r="AE2" s="53" t="s">
        <v>10</v>
      </c>
      <c r="AF2" s="53"/>
      <c r="AG2" s="53"/>
      <c r="AH2" s="53"/>
      <c r="AI2" s="53"/>
      <c r="AJ2" s="54" t="s">
        <v>11</v>
      </c>
      <c r="AK2" s="54" t="s">
        <v>8</v>
      </c>
      <c r="AL2" s="53" t="s">
        <v>12</v>
      </c>
      <c r="AM2" s="53"/>
      <c r="AN2" s="53"/>
      <c r="AO2" s="53"/>
      <c r="AP2" s="53"/>
      <c r="AQ2" s="53" t="s">
        <v>13</v>
      </c>
      <c r="AR2" s="53"/>
      <c r="AS2" s="53"/>
      <c r="AT2" s="53"/>
      <c r="AU2" s="53"/>
      <c r="AV2" s="54" t="s">
        <v>14</v>
      </c>
      <c r="AW2" s="54" t="s">
        <v>8</v>
      </c>
      <c r="AX2" s="53" t="s">
        <v>15</v>
      </c>
      <c r="AY2" s="53"/>
      <c r="AZ2" s="53"/>
      <c r="BA2" s="53"/>
      <c r="BB2" s="53"/>
      <c r="BC2" s="53" t="s">
        <v>16</v>
      </c>
      <c r="BD2" s="53"/>
      <c r="BE2" s="53"/>
      <c r="BF2" s="53"/>
      <c r="BG2" s="53"/>
      <c r="BH2" s="54" t="s">
        <v>17</v>
      </c>
      <c r="BI2" s="54" t="s">
        <v>8</v>
      </c>
      <c r="BJ2" s="53" t="s">
        <v>18</v>
      </c>
      <c r="BK2" s="53"/>
      <c r="BL2" s="53"/>
      <c r="BM2" s="53"/>
      <c r="BN2" s="53"/>
      <c r="BO2" s="53" t="s">
        <v>19</v>
      </c>
      <c r="BP2" s="53"/>
      <c r="BQ2" s="53"/>
      <c r="BR2" s="53"/>
      <c r="BS2" s="53"/>
      <c r="BT2" s="37" t="s">
        <v>20</v>
      </c>
      <c r="BU2" s="30"/>
      <c r="BV2" s="31"/>
      <c r="IM2" s="3"/>
      <c r="IN2" s="3"/>
      <c r="IO2" s="3"/>
      <c r="IP2" s="3"/>
      <c r="IQ2" s="3"/>
      <c r="IR2" s="3"/>
      <c r="IS2" s="3"/>
      <c r="IT2" s="3"/>
    </row>
    <row r="3" spans="1:254" s="2" customFormat="1" ht="12.75" customHeight="1" x14ac:dyDescent="0.2">
      <c r="A3" s="53"/>
      <c r="B3" s="53"/>
      <c r="C3" s="53" t="s">
        <v>21</v>
      </c>
      <c r="D3" s="53"/>
      <c r="E3" s="53" t="s">
        <v>22</v>
      </c>
      <c r="F3" s="53"/>
      <c r="G3" s="53" t="s">
        <v>23</v>
      </c>
      <c r="H3" s="53" t="s">
        <v>21</v>
      </c>
      <c r="I3" s="53"/>
      <c r="J3" s="53" t="s">
        <v>22</v>
      </c>
      <c r="K3" s="53"/>
      <c r="L3" s="53" t="s">
        <v>23</v>
      </c>
      <c r="M3" s="54"/>
      <c r="N3" s="53" t="s">
        <v>21</v>
      </c>
      <c r="O3" s="53"/>
      <c r="P3" s="53" t="s">
        <v>22</v>
      </c>
      <c r="Q3" s="53"/>
      <c r="R3" s="53" t="s">
        <v>23</v>
      </c>
      <c r="S3" s="53" t="s">
        <v>21</v>
      </c>
      <c r="T3" s="53"/>
      <c r="U3" s="53" t="s">
        <v>22</v>
      </c>
      <c r="V3" s="53"/>
      <c r="W3" s="53" t="s">
        <v>23</v>
      </c>
      <c r="X3" s="54"/>
      <c r="Y3" s="54"/>
      <c r="Z3" s="53" t="s">
        <v>21</v>
      </c>
      <c r="AA3" s="53"/>
      <c r="AB3" s="53" t="s">
        <v>22</v>
      </c>
      <c r="AC3" s="53"/>
      <c r="AD3" s="53" t="s">
        <v>23</v>
      </c>
      <c r="AE3" s="53" t="s">
        <v>21</v>
      </c>
      <c r="AF3" s="53"/>
      <c r="AG3" s="53" t="s">
        <v>22</v>
      </c>
      <c r="AH3" s="53"/>
      <c r="AI3" s="53" t="s">
        <v>23</v>
      </c>
      <c r="AJ3" s="54"/>
      <c r="AK3" s="54"/>
      <c r="AL3" s="53" t="s">
        <v>21</v>
      </c>
      <c r="AM3" s="53"/>
      <c r="AN3" s="53" t="s">
        <v>22</v>
      </c>
      <c r="AO3" s="53"/>
      <c r="AP3" s="53" t="s">
        <v>23</v>
      </c>
      <c r="AQ3" s="53" t="s">
        <v>21</v>
      </c>
      <c r="AR3" s="53"/>
      <c r="AS3" s="53" t="s">
        <v>22</v>
      </c>
      <c r="AT3" s="53"/>
      <c r="AU3" s="53" t="s">
        <v>23</v>
      </c>
      <c r="AV3" s="54"/>
      <c r="AW3" s="54"/>
      <c r="AX3" s="53" t="s">
        <v>21</v>
      </c>
      <c r="AY3" s="53"/>
      <c r="AZ3" s="53" t="s">
        <v>22</v>
      </c>
      <c r="BA3" s="53"/>
      <c r="BB3" s="53" t="s">
        <v>23</v>
      </c>
      <c r="BC3" s="53" t="s">
        <v>21</v>
      </c>
      <c r="BD3" s="53"/>
      <c r="BE3" s="53" t="s">
        <v>22</v>
      </c>
      <c r="BF3" s="53"/>
      <c r="BG3" s="53" t="s">
        <v>23</v>
      </c>
      <c r="BH3" s="54"/>
      <c r="BI3" s="54"/>
      <c r="BJ3" s="53" t="s">
        <v>21</v>
      </c>
      <c r="BK3" s="53"/>
      <c r="BL3" s="53" t="s">
        <v>22</v>
      </c>
      <c r="BM3" s="53"/>
      <c r="BN3" s="53"/>
      <c r="BO3" s="53" t="s">
        <v>21</v>
      </c>
      <c r="BP3" s="53"/>
      <c r="BQ3" s="53" t="s">
        <v>22</v>
      </c>
      <c r="BR3" s="53"/>
      <c r="BS3" s="53"/>
      <c r="BT3" s="56" t="s">
        <v>41</v>
      </c>
      <c r="BU3" s="32"/>
      <c r="BV3" s="33"/>
      <c r="IM3" s="3"/>
      <c r="IN3" s="3"/>
      <c r="IO3" s="3"/>
      <c r="IP3" s="3"/>
      <c r="IQ3" s="3"/>
      <c r="IR3" s="3"/>
      <c r="IS3" s="3"/>
      <c r="IT3" s="3"/>
    </row>
    <row r="4" spans="1:254" s="2" customFormat="1" ht="17.100000000000001" customHeight="1" x14ac:dyDescent="0.2">
      <c r="A4" s="53"/>
      <c r="B4" s="53"/>
      <c r="C4" s="1" t="s">
        <v>24</v>
      </c>
      <c r="D4" s="1" t="s">
        <v>25</v>
      </c>
      <c r="E4" s="1" t="s">
        <v>24</v>
      </c>
      <c r="F4" s="1" t="s">
        <v>25</v>
      </c>
      <c r="G4" s="53"/>
      <c r="H4" s="1" t="s">
        <v>24</v>
      </c>
      <c r="I4" s="1" t="s">
        <v>25</v>
      </c>
      <c r="J4" s="1" t="s">
        <v>24</v>
      </c>
      <c r="K4" s="1" t="s">
        <v>25</v>
      </c>
      <c r="L4" s="53"/>
      <c r="M4" s="54"/>
      <c r="N4" s="1" t="s">
        <v>24</v>
      </c>
      <c r="O4" s="1" t="s">
        <v>25</v>
      </c>
      <c r="P4" s="1" t="s">
        <v>24</v>
      </c>
      <c r="Q4" s="1" t="s">
        <v>25</v>
      </c>
      <c r="R4" s="53"/>
      <c r="S4" s="1" t="s">
        <v>24</v>
      </c>
      <c r="T4" s="1" t="s">
        <v>25</v>
      </c>
      <c r="U4" s="1" t="s">
        <v>24</v>
      </c>
      <c r="V4" s="1" t="s">
        <v>25</v>
      </c>
      <c r="W4" s="53"/>
      <c r="X4" s="54"/>
      <c r="Y4" s="54"/>
      <c r="Z4" s="1" t="s">
        <v>24</v>
      </c>
      <c r="AA4" s="1" t="s">
        <v>25</v>
      </c>
      <c r="AB4" s="1" t="s">
        <v>24</v>
      </c>
      <c r="AC4" s="1" t="s">
        <v>25</v>
      </c>
      <c r="AD4" s="53"/>
      <c r="AE4" s="1" t="s">
        <v>24</v>
      </c>
      <c r="AF4" s="1" t="s">
        <v>25</v>
      </c>
      <c r="AG4" s="1" t="s">
        <v>24</v>
      </c>
      <c r="AH4" s="1" t="s">
        <v>25</v>
      </c>
      <c r="AI4" s="53"/>
      <c r="AJ4" s="54"/>
      <c r="AK4" s="54"/>
      <c r="AL4" s="1" t="s">
        <v>24</v>
      </c>
      <c r="AM4" s="1" t="s">
        <v>25</v>
      </c>
      <c r="AN4" s="1" t="s">
        <v>24</v>
      </c>
      <c r="AO4" s="1" t="s">
        <v>25</v>
      </c>
      <c r="AP4" s="53"/>
      <c r="AQ4" s="1" t="s">
        <v>24</v>
      </c>
      <c r="AR4" s="1" t="s">
        <v>25</v>
      </c>
      <c r="AS4" s="1" t="s">
        <v>24</v>
      </c>
      <c r="AT4" s="1" t="s">
        <v>25</v>
      </c>
      <c r="AU4" s="53"/>
      <c r="AV4" s="54"/>
      <c r="AW4" s="54"/>
      <c r="AX4" s="1" t="s">
        <v>24</v>
      </c>
      <c r="AY4" s="1" t="s">
        <v>25</v>
      </c>
      <c r="AZ4" s="1" t="s">
        <v>24</v>
      </c>
      <c r="BA4" s="1" t="s">
        <v>25</v>
      </c>
      <c r="BB4" s="53"/>
      <c r="BC4" s="1" t="s">
        <v>24</v>
      </c>
      <c r="BD4" s="1" t="s">
        <v>25</v>
      </c>
      <c r="BE4" s="1" t="s">
        <v>24</v>
      </c>
      <c r="BF4" s="1" t="s">
        <v>25</v>
      </c>
      <c r="BG4" s="53"/>
      <c r="BH4" s="54"/>
      <c r="BI4" s="54"/>
      <c r="BJ4" s="1" t="s">
        <v>24</v>
      </c>
      <c r="BK4" s="1" t="s">
        <v>25</v>
      </c>
      <c r="BL4" s="1" t="s">
        <v>24</v>
      </c>
      <c r="BM4" s="1" t="s">
        <v>25</v>
      </c>
      <c r="BN4" s="4" t="s">
        <v>23</v>
      </c>
      <c r="BO4" s="1" t="s">
        <v>24</v>
      </c>
      <c r="BP4" s="1" t="s">
        <v>25</v>
      </c>
      <c r="BQ4" s="1" t="s">
        <v>24</v>
      </c>
      <c r="BR4" s="1" t="s">
        <v>25</v>
      </c>
      <c r="BS4" s="4" t="s">
        <v>23</v>
      </c>
      <c r="BT4" s="57"/>
      <c r="BU4" s="1" t="s">
        <v>25</v>
      </c>
      <c r="BV4" s="4" t="s">
        <v>23</v>
      </c>
      <c r="IM4" s="3"/>
      <c r="IN4" s="3"/>
      <c r="IO4" s="3"/>
      <c r="IP4" s="3"/>
      <c r="IQ4" s="3"/>
      <c r="IR4" s="3"/>
      <c r="IS4" s="3"/>
      <c r="IT4" s="3"/>
    </row>
    <row r="5" spans="1:254" s="2" customFormat="1" ht="12.75" customHeight="1" x14ac:dyDescent="0.2">
      <c r="A5" s="5" t="s">
        <v>26</v>
      </c>
      <c r="B5" s="5">
        <v>26500000</v>
      </c>
      <c r="C5" s="6">
        <v>3057000</v>
      </c>
      <c r="D5" s="6">
        <f>2313957.02+584678.35</f>
        <v>2898635.37</v>
      </c>
      <c r="E5" s="6"/>
      <c r="F5" s="6"/>
      <c r="G5" s="6">
        <f>C5-D5</f>
        <v>158364.62999999989</v>
      </c>
      <c r="H5" s="6">
        <f>2857000+G5</f>
        <v>3015364.63</v>
      </c>
      <c r="I5" s="6">
        <v>2986941.68</v>
      </c>
      <c r="J5" s="6"/>
      <c r="K5" s="6"/>
      <c r="L5" s="6">
        <f>H5-I5</f>
        <v>28422.949999999721</v>
      </c>
      <c r="M5" s="7">
        <f>SUM(D5+I5)</f>
        <v>5885577.0500000007</v>
      </c>
      <c r="N5" s="6">
        <f>2862000+L5</f>
        <v>2890422.9499999997</v>
      </c>
      <c r="O5" s="6">
        <v>2870753.97</v>
      </c>
      <c r="P5" s="6"/>
      <c r="Q5" s="6"/>
      <c r="R5" s="6">
        <f>N5-O5</f>
        <v>19668.979999999516</v>
      </c>
      <c r="S5" s="6">
        <f>2862000+R5</f>
        <v>2881668.9799999995</v>
      </c>
      <c r="T5" s="6">
        <v>2862658.55</v>
      </c>
      <c r="U5" s="6"/>
      <c r="V5" s="6"/>
      <c r="W5" s="6">
        <f>S5-T5</f>
        <v>19010.429999999702</v>
      </c>
      <c r="X5" s="9">
        <f>O5+T5</f>
        <v>5733412.5199999996</v>
      </c>
      <c r="Y5" s="8">
        <f t="shared" ref="Y5:Y22" si="0">M5+X5</f>
        <v>11618989.57</v>
      </c>
      <c r="Z5" s="8">
        <f>2262000+W5</f>
        <v>2281010.4299999997</v>
      </c>
      <c r="AA5" s="8">
        <v>2271240.7000000002</v>
      </c>
      <c r="AB5" s="8"/>
      <c r="AC5" s="8"/>
      <c r="AD5" s="8">
        <f>Z5-AA5</f>
        <v>9769.7299999995157</v>
      </c>
      <c r="AE5" s="8">
        <f>2262000+AD5</f>
        <v>2271769.7299999995</v>
      </c>
      <c r="AF5" s="8">
        <v>2217386.29</v>
      </c>
      <c r="AG5" s="8"/>
      <c r="AH5" s="8"/>
      <c r="AI5" s="8">
        <f>AE5-AF5</f>
        <v>54383.439999999478</v>
      </c>
      <c r="AJ5" s="7">
        <f>AA5+AF5</f>
        <v>4488626.99</v>
      </c>
      <c r="AK5" s="8">
        <f t="shared" ref="AK5:AK22" si="1">Y5+AJ5</f>
        <v>16107616.560000001</v>
      </c>
      <c r="AL5" s="8">
        <f>1862000+AI5</f>
        <v>1916383.4399999995</v>
      </c>
      <c r="AM5" s="8">
        <v>1874963.87</v>
      </c>
      <c r="AN5" s="8"/>
      <c r="AO5" s="8"/>
      <c r="AP5" s="8">
        <f>AL5-AM5</f>
        <v>41419.569999999367</v>
      </c>
      <c r="AQ5" s="8">
        <f>1862000+AP5</f>
        <v>1903419.5699999994</v>
      </c>
      <c r="AR5" s="8">
        <v>1846325.46</v>
      </c>
      <c r="AS5" s="8"/>
      <c r="AT5" s="8"/>
      <c r="AU5" s="8">
        <f>AQ5-AR5</f>
        <v>57094.109999999404</v>
      </c>
      <c r="AV5" s="7">
        <f>AM5+AR5</f>
        <v>3721289.33</v>
      </c>
      <c r="AW5" s="10">
        <f t="shared" ref="AW5:AW22" si="2">AK5+AV5</f>
        <v>19828905.890000001</v>
      </c>
      <c r="AX5" s="8">
        <f>1862000+AU5</f>
        <v>1919094.1099999994</v>
      </c>
      <c r="AY5" s="8">
        <v>1423889.26</v>
      </c>
      <c r="AZ5" s="8"/>
      <c r="BA5" s="8"/>
      <c r="BB5" s="8">
        <f>AX5-AY5</f>
        <v>495204.84999999939</v>
      </c>
      <c r="BC5" s="8">
        <f>1862000+495204.85</f>
        <v>2357204.85</v>
      </c>
      <c r="BD5" s="8">
        <v>1890083.95</v>
      </c>
      <c r="BE5" s="8"/>
      <c r="BF5" s="8"/>
      <c r="BG5" s="8">
        <f>BC5-BD5</f>
        <v>467120.90000000014</v>
      </c>
      <c r="BH5" s="7">
        <f>AY5+BD5</f>
        <v>3313973.21</v>
      </c>
      <c r="BI5" s="10"/>
      <c r="BJ5" s="8">
        <v>1662000</v>
      </c>
      <c r="BK5" s="8"/>
      <c r="BL5" s="8"/>
      <c r="BM5" s="8"/>
      <c r="BN5" s="8"/>
      <c r="BO5" s="8">
        <f>1228000-1000000</f>
        <v>228000</v>
      </c>
      <c r="BP5" s="8"/>
      <c r="BQ5" s="8"/>
      <c r="BR5" s="8"/>
      <c r="BS5" s="10"/>
      <c r="BT5" s="9">
        <f>M5+X5+AJ5+AV5+BH5+BJ5+BO5</f>
        <v>25032879.100000001</v>
      </c>
      <c r="BU5" s="9">
        <f>F5+K5+Q5+V5+AC5+AH5+AO5+AT5+BA5+BF5+BM5+BR5</f>
        <v>0</v>
      </c>
      <c r="BV5" s="11">
        <f>BT5-BU5</f>
        <v>25032879.100000001</v>
      </c>
      <c r="IM5" s="3"/>
      <c r="IN5" s="3"/>
      <c r="IO5" s="3"/>
      <c r="IP5" s="3"/>
      <c r="IQ5" s="3"/>
      <c r="IR5" s="3"/>
      <c r="IS5" s="3"/>
      <c r="IT5" s="3"/>
    </row>
    <row r="6" spans="1:254" s="2" customFormat="1" ht="12.75" customHeight="1" x14ac:dyDescent="0.2">
      <c r="A6" s="5" t="s">
        <v>42</v>
      </c>
      <c r="B6" s="5">
        <v>23366700</v>
      </c>
      <c r="C6" s="6"/>
      <c r="D6" s="7"/>
      <c r="E6" s="6">
        <f>1539444.91+167420-79420</f>
        <v>1627444.91</v>
      </c>
      <c r="F6" s="6">
        <v>1618477.29</v>
      </c>
      <c r="G6" s="6">
        <f>E6-F6</f>
        <v>8967.6199999998789</v>
      </c>
      <c r="H6" s="12"/>
      <c r="I6" s="6"/>
      <c r="J6" s="6">
        <f>1542669.54+14000+G6</f>
        <v>1565637.16</v>
      </c>
      <c r="K6" s="6">
        <v>1544222.72</v>
      </c>
      <c r="L6" s="6">
        <f>J6-K6</f>
        <v>21414.439999999944</v>
      </c>
      <c r="M6" s="7">
        <f>F6+K6</f>
        <v>3162700.01</v>
      </c>
      <c r="N6" s="13"/>
      <c r="O6" s="13"/>
      <c r="P6" s="6">
        <f>1823023.2+L6+90000</f>
        <v>1934437.64</v>
      </c>
      <c r="Q6" s="6">
        <v>1615882.93</v>
      </c>
      <c r="R6" s="6">
        <f>P6-Q6</f>
        <v>318554.70999999996</v>
      </c>
      <c r="S6" s="12"/>
      <c r="T6" s="12"/>
      <c r="U6" s="6">
        <f>1742104.32+R6-100900</f>
        <v>1959759.03</v>
      </c>
      <c r="V6" s="6">
        <v>1500827.59</v>
      </c>
      <c r="W6" s="6">
        <f>U6-V6</f>
        <v>458931.43999999994</v>
      </c>
      <c r="X6" s="9">
        <f>Q6+V6</f>
        <v>3116710.52</v>
      </c>
      <c r="Y6" s="8">
        <f t="shared" si="0"/>
        <v>6279410.5299999993</v>
      </c>
      <c r="Z6" s="8"/>
      <c r="AA6" s="8"/>
      <c r="AB6" s="8">
        <f>1817064.7+W6+519382.81</f>
        <v>2795378.9499999997</v>
      </c>
      <c r="AC6" s="8">
        <v>1540817.8</v>
      </c>
      <c r="AD6" s="8">
        <f>AB6-AC6</f>
        <v>1254561.1499999997</v>
      </c>
      <c r="AE6" s="10"/>
      <c r="AF6" s="10"/>
      <c r="AG6" s="8">
        <f>1986239.6+AD6-40000</f>
        <v>3200800.75</v>
      </c>
      <c r="AH6" s="8">
        <v>1659058.77</v>
      </c>
      <c r="AI6" s="8">
        <f t="shared" ref="AI6:AI22" si="3">AG6-AH6</f>
        <v>1541741.98</v>
      </c>
      <c r="AJ6" s="7">
        <f>AC6+AH6</f>
        <v>3199876.5700000003</v>
      </c>
      <c r="AK6" s="8">
        <f t="shared" si="1"/>
        <v>9479287.0999999996</v>
      </c>
      <c r="AL6" s="10"/>
      <c r="AM6" s="8"/>
      <c r="AN6" s="8">
        <f>1902610.19+AI6-30042.1</f>
        <v>3414310.07</v>
      </c>
      <c r="AO6" s="8">
        <v>1591381.33</v>
      </c>
      <c r="AP6" s="8">
        <f>AN6-AO6</f>
        <v>1822928.7399999998</v>
      </c>
      <c r="AQ6" s="10"/>
      <c r="AR6" s="10"/>
      <c r="AS6" s="8">
        <f>1938664.99+AP6-650</f>
        <v>3760943.7299999995</v>
      </c>
      <c r="AT6" s="8">
        <v>1656956.1</v>
      </c>
      <c r="AU6" s="8">
        <f>AS6-AT6</f>
        <v>2103987.6299999994</v>
      </c>
      <c r="AV6" s="7">
        <f>AO6+AT6</f>
        <v>3248337.43</v>
      </c>
      <c r="AW6" s="10">
        <f t="shared" si="2"/>
        <v>12727624.529999999</v>
      </c>
      <c r="AX6" s="10"/>
      <c r="AY6" s="8"/>
      <c r="AZ6" s="8">
        <f>1967242.47+AU6+302295</f>
        <v>4373525.0999999996</v>
      </c>
      <c r="BA6" s="8">
        <v>1495715.02</v>
      </c>
      <c r="BB6" s="8">
        <f>AZ6-BA6</f>
        <v>2877810.0799999996</v>
      </c>
      <c r="BC6" s="10"/>
      <c r="BD6" s="10"/>
      <c r="BE6" s="8">
        <f>1779187.28+BB6-525500</f>
        <v>4131497.3599999994</v>
      </c>
      <c r="BF6" s="8">
        <v>1662314.94</v>
      </c>
      <c r="BG6" s="8">
        <f>BE6-BF6</f>
        <v>2469182.4199999995</v>
      </c>
      <c r="BH6" s="7">
        <f>BA6+BF6</f>
        <v>3158029.96</v>
      </c>
      <c r="BI6" s="10"/>
      <c r="BJ6" s="10"/>
      <c r="BK6" s="10"/>
      <c r="BL6" s="8">
        <f>1948525.75+BG6</f>
        <v>4417708.17</v>
      </c>
      <c r="BM6" s="8"/>
      <c r="BN6" s="10"/>
      <c r="BO6" s="10"/>
      <c r="BP6" s="10"/>
      <c r="BQ6" s="8">
        <v>3379923.05</v>
      </c>
      <c r="BR6" s="8"/>
      <c r="BS6" s="10"/>
      <c r="BT6" s="9">
        <f>M6+X6+AJ6+AV6+BH6+BL6+BQ6</f>
        <v>23683285.709999997</v>
      </c>
      <c r="BU6" s="9">
        <f>F6+K6+Q6+V6+AC6+AH6+AO6+AT6+BA6+BF6+BM6+BR6</f>
        <v>15885654.489999998</v>
      </c>
      <c r="BV6" s="11">
        <f>BT6-BU6</f>
        <v>7797631.2199999988</v>
      </c>
      <c r="IM6" s="3"/>
      <c r="IN6" s="3"/>
      <c r="IO6" s="3"/>
      <c r="IP6" s="3"/>
      <c r="IQ6" s="3"/>
      <c r="IR6" s="3"/>
      <c r="IS6" s="3"/>
      <c r="IT6" s="3"/>
    </row>
    <row r="7" spans="1:254" s="2" customFormat="1" ht="12.75" customHeight="1" x14ac:dyDescent="0.2">
      <c r="A7" s="5" t="s">
        <v>37</v>
      </c>
      <c r="B7" s="5">
        <v>5080000</v>
      </c>
      <c r="C7" s="6"/>
      <c r="D7" s="7"/>
      <c r="E7" s="6">
        <f>334680.54+30000</f>
        <v>364680.54</v>
      </c>
      <c r="F7" s="6">
        <v>362094.44</v>
      </c>
      <c r="G7" s="6">
        <f t="shared" ref="G7:G22" si="4">E7-F7</f>
        <v>2586.0999999999767</v>
      </c>
      <c r="H7" s="12"/>
      <c r="I7" s="6"/>
      <c r="J7" s="6">
        <f>335381.6+G7+15000</f>
        <v>352967.69999999995</v>
      </c>
      <c r="K7" s="6">
        <v>351264.65</v>
      </c>
      <c r="L7" s="6">
        <f t="shared" ref="L7:L22" si="5">J7-K7</f>
        <v>1703.0499999999302</v>
      </c>
      <c r="M7" s="7">
        <f t="shared" ref="M7:M19" si="6">F7+K7</f>
        <v>713359.09000000008</v>
      </c>
      <c r="N7" s="13"/>
      <c r="O7" s="13"/>
      <c r="P7" s="6">
        <f>396331.44+L7</f>
        <v>398034.48999999993</v>
      </c>
      <c r="Q7" s="6">
        <v>356870.28</v>
      </c>
      <c r="R7" s="6">
        <f t="shared" ref="R7:R22" si="7">P7-Q7</f>
        <v>41164.209999999905</v>
      </c>
      <c r="S7" s="12"/>
      <c r="T7" s="12"/>
      <c r="U7" s="6">
        <f>378739.41+R7-150035.55+100000</f>
        <v>369868.06999999989</v>
      </c>
      <c r="V7" s="6">
        <v>356861.93</v>
      </c>
      <c r="W7" s="6">
        <f>U7-V7</f>
        <v>13006.139999999898</v>
      </c>
      <c r="X7" s="9">
        <f t="shared" ref="X7:X19" si="8">Q7+V7</f>
        <v>713732.21</v>
      </c>
      <c r="Y7" s="8"/>
      <c r="Z7" s="8"/>
      <c r="AA7" s="8"/>
      <c r="AB7" s="8">
        <f>395036.03+W7-2700</f>
        <v>405342.16999999993</v>
      </c>
      <c r="AC7" s="8">
        <v>383820.08</v>
      </c>
      <c r="AD7" s="8">
        <f t="shared" ref="AD7:AD22" si="9">AB7-AC7</f>
        <v>21522.089999999909</v>
      </c>
      <c r="AE7" s="10"/>
      <c r="AF7" s="10"/>
      <c r="AG7" s="8">
        <f>431815.23-15000+AD7</f>
        <v>438337.31999999989</v>
      </c>
      <c r="AH7" s="8">
        <v>378309.12</v>
      </c>
      <c r="AI7" s="8">
        <f t="shared" si="3"/>
        <v>60028.199999999895</v>
      </c>
      <c r="AJ7" s="7">
        <f t="shared" ref="AJ7:AJ19" si="10">AC7+AH7</f>
        <v>762129.2</v>
      </c>
      <c r="AK7" s="8"/>
      <c r="AL7" s="10"/>
      <c r="AM7" s="8"/>
      <c r="AN7" s="8">
        <f>413633.92+AI7+58000</f>
        <v>531662.11999999988</v>
      </c>
      <c r="AO7" s="8">
        <v>387802.57</v>
      </c>
      <c r="AP7" s="8">
        <f>AN7-AO7</f>
        <v>143859.54999999987</v>
      </c>
      <c r="AQ7" s="10"/>
      <c r="AR7" s="10"/>
      <c r="AS7" s="8">
        <f>421472.37+AP7+18800</f>
        <v>584131.91999999993</v>
      </c>
      <c r="AT7" s="8">
        <v>371503.53</v>
      </c>
      <c r="AU7" s="8">
        <f t="shared" ref="AU7:AU22" si="11">AS7-AT7</f>
        <v>212628.3899999999</v>
      </c>
      <c r="AV7" s="7">
        <f t="shared" ref="AV7:AV22" si="12">AO7+AT7</f>
        <v>759306.10000000009</v>
      </c>
      <c r="AW7" s="10"/>
      <c r="AX7" s="10"/>
      <c r="AY7" s="8"/>
      <c r="AZ7" s="8">
        <f>427685.2+AU7</f>
        <v>640313.58999999985</v>
      </c>
      <c r="BA7" s="8">
        <v>366798.92</v>
      </c>
      <c r="BB7" s="8">
        <f t="shared" ref="BB7:BB22" si="13">AZ7-BA7</f>
        <v>273514.66999999987</v>
      </c>
      <c r="BC7" s="10"/>
      <c r="BD7" s="10"/>
      <c r="BE7" s="8">
        <f>386801.36+BB7</f>
        <v>660316.0299999998</v>
      </c>
      <c r="BF7" s="8">
        <v>355385.92</v>
      </c>
      <c r="BG7" s="8">
        <f t="shared" ref="BG7:BG22" si="14">BE7-BF7</f>
        <v>304930.10999999981</v>
      </c>
      <c r="BH7" s="7">
        <f t="shared" ref="BH7:BH19" si="15">BA7+BF7</f>
        <v>722184.84</v>
      </c>
      <c r="BI7" s="10"/>
      <c r="BJ7" s="10"/>
      <c r="BK7" s="10"/>
      <c r="BL7" s="8">
        <f>423616.13+BG7</f>
        <v>728546.23999999976</v>
      </c>
      <c r="BM7" s="8"/>
      <c r="BN7" s="10"/>
      <c r="BO7" s="10"/>
      <c r="BP7" s="10"/>
      <c r="BQ7" s="8">
        <f>734806.77-30000-100000</f>
        <v>604806.77</v>
      </c>
      <c r="BR7" s="8"/>
      <c r="BS7" s="10"/>
      <c r="BT7" s="9">
        <f t="shared" ref="BT7:BT22" si="16">M7+X7+AJ7+AV7+BH7+BL7+BQ7</f>
        <v>5004064.4499999993</v>
      </c>
      <c r="BU7" s="9"/>
      <c r="BV7" s="11"/>
      <c r="IM7" s="3"/>
      <c r="IN7" s="3"/>
      <c r="IO7" s="3"/>
      <c r="IP7" s="3"/>
      <c r="IQ7" s="3"/>
      <c r="IR7" s="3"/>
      <c r="IS7" s="3"/>
      <c r="IT7" s="3"/>
    </row>
    <row r="8" spans="1:254" s="2" customFormat="1" ht="12.75" customHeight="1" x14ac:dyDescent="0.2">
      <c r="A8" s="5" t="s">
        <v>38</v>
      </c>
      <c r="B8" s="5">
        <v>36696000</v>
      </c>
      <c r="C8" s="6"/>
      <c r="D8" s="7"/>
      <c r="E8" s="6">
        <v>2417605.85</v>
      </c>
      <c r="F8" s="6">
        <v>725596.47</v>
      </c>
      <c r="G8" s="6">
        <f t="shared" si="4"/>
        <v>1692009.3800000001</v>
      </c>
      <c r="H8" s="12"/>
      <c r="I8" s="6"/>
      <c r="J8" s="6">
        <f>2422669.92+11200+G8</f>
        <v>4125879.3</v>
      </c>
      <c r="K8" s="6">
        <v>850787.95</v>
      </c>
      <c r="L8" s="6">
        <f t="shared" si="5"/>
        <v>3275091.3499999996</v>
      </c>
      <c r="M8" s="7">
        <f t="shared" si="6"/>
        <v>1576384.42</v>
      </c>
      <c r="N8" s="13"/>
      <c r="O8" s="13"/>
      <c r="P8" s="6">
        <f>2862948.54+L8</f>
        <v>6138039.8899999997</v>
      </c>
      <c r="Q8" s="6">
        <v>773194.96</v>
      </c>
      <c r="R8" s="6">
        <f t="shared" si="7"/>
        <v>5364844.93</v>
      </c>
      <c r="S8" s="12"/>
      <c r="T8" s="12"/>
      <c r="U8" s="6">
        <f>2735870.28+R8-207494.07</f>
        <v>7893221.1399999987</v>
      </c>
      <c r="V8" s="6">
        <v>973919.6</v>
      </c>
      <c r="W8" s="6">
        <f t="shared" ref="W8:W22" si="17">U8-V8</f>
        <v>6919301.5399999991</v>
      </c>
      <c r="X8" s="9">
        <f t="shared" si="8"/>
        <v>1747114.56</v>
      </c>
      <c r="Y8" s="8"/>
      <c r="Z8" s="8"/>
      <c r="AA8" s="8"/>
      <c r="AB8" s="8">
        <f>2853591.06+W8+30625.94</f>
        <v>9803518.5399999991</v>
      </c>
      <c r="AC8" s="8">
        <v>964437.99</v>
      </c>
      <c r="AD8" s="8">
        <f t="shared" si="9"/>
        <v>8839080.5499999989</v>
      </c>
      <c r="AE8" s="10"/>
      <c r="AF8" s="10"/>
      <c r="AG8" s="8">
        <f>3119270.09+AD8+22605</f>
        <v>11980955.639999999</v>
      </c>
      <c r="AH8" s="8">
        <v>760921.2</v>
      </c>
      <c r="AI8" s="8">
        <f>AG8-AH8</f>
        <v>11220034.439999999</v>
      </c>
      <c r="AJ8" s="7">
        <f t="shared" si="10"/>
        <v>1725359.19</v>
      </c>
      <c r="AK8" s="8"/>
      <c r="AL8" s="10"/>
      <c r="AM8" s="8"/>
      <c r="AN8" s="8">
        <f>2987935.1+AI8+307200</f>
        <v>14515169.539999999</v>
      </c>
      <c r="AO8" s="8">
        <v>916901.26</v>
      </c>
      <c r="AP8" s="8">
        <f t="shared" ref="AP8:AP22" si="18">AN8-AO8</f>
        <v>13598268.279999999</v>
      </c>
      <c r="AQ8" s="10"/>
      <c r="AR8" s="10"/>
      <c r="AS8" s="8">
        <f>3044557.03+AP8-30100</f>
        <v>16612725.309999999</v>
      </c>
      <c r="AT8" s="8">
        <v>1008470.7</v>
      </c>
      <c r="AU8" s="8">
        <f t="shared" si="11"/>
        <v>15604254.609999999</v>
      </c>
      <c r="AV8" s="7">
        <f t="shared" si="12"/>
        <v>1925371.96</v>
      </c>
      <c r="AW8" s="10"/>
      <c r="AX8" s="10"/>
      <c r="AY8" s="8"/>
      <c r="AZ8" s="8">
        <f>3089436.24+AU8-222050</f>
        <v>18471640.850000001</v>
      </c>
      <c r="BA8" s="8">
        <v>885148.06</v>
      </c>
      <c r="BB8" s="8">
        <f t="shared" si="13"/>
        <v>17586492.790000003</v>
      </c>
      <c r="BC8" s="10"/>
      <c r="BD8" s="10"/>
      <c r="BE8" s="8">
        <f>2794106.83+BB8+20000</f>
        <v>20400599.620000005</v>
      </c>
      <c r="BF8" s="8">
        <v>854933.86</v>
      </c>
      <c r="BG8" s="8">
        <f t="shared" si="14"/>
        <v>19545665.760000005</v>
      </c>
      <c r="BH8" s="7">
        <f t="shared" si="15"/>
        <v>1740081.92</v>
      </c>
      <c r="BI8" s="10"/>
      <c r="BJ8" s="10"/>
      <c r="BK8" s="10"/>
      <c r="BL8" s="8">
        <f>3060042.75+BG8</f>
        <v>22605708.510000005</v>
      </c>
      <c r="BM8" s="8"/>
      <c r="BN8" s="10"/>
      <c r="BO8" s="10"/>
      <c r="BP8" s="10"/>
      <c r="BQ8" s="8">
        <v>5307966.3099999996</v>
      </c>
      <c r="BR8" s="8"/>
      <c r="BS8" s="10"/>
      <c r="BT8" s="9">
        <f>M8+X8+AJ8+AV8+BH8+BL8+BQ8</f>
        <v>36627986.870000005</v>
      </c>
      <c r="BU8" s="9"/>
      <c r="BV8" s="11"/>
      <c r="IM8" s="3"/>
      <c r="IN8" s="3"/>
      <c r="IO8" s="3"/>
      <c r="IP8" s="3"/>
      <c r="IQ8" s="3"/>
      <c r="IR8" s="3"/>
      <c r="IS8" s="3"/>
      <c r="IT8" s="3"/>
    </row>
    <row r="9" spans="1:254" s="2" customFormat="1" ht="12.75" customHeight="1" x14ac:dyDescent="0.2">
      <c r="A9" s="5" t="s">
        <v>28</v>
      </c>
      <c r="B9" s="5">
        <v>18281900</v>
      </c>
      <c r="C9" s="6"/>
      <c r="D9" s="7"/>
      <c r="E9" s="6">
        <f>1204448.13+300000</f>
        <v>1504448.13</v>
      </c>
      <c r="F9" s="6">
        <v>1476518.48</v>
      </c>
      <c r="G9" s="6">
        <f t="shared" si="4"/>
        <v>27929.649999999907</v>
      </c>
      <c r="H9" s="12"/>
      <c r="I9" s="6"/>
      <c r="J9" s="6">
        <f>1206971.04+4000+G9+400000</f>
        <v>1638900.69</v>
      </c>
      <c r="K9" s="6">
        <v>1602481.82</v>
      </c>
      <c r="L9" s="6">
        <f t="shared" si="5"/>
        <v>36418.869999999879</v>
      </c>
      <c r="M9" s="7">
        <f t="shared" si="6"/>
        <v>3079000.3</v>
      </c>
      <c r="N9" s="13"/>
      <c r="O9" s="13"/>
      <c r="P9" s="6">
        <f>1426317.27+L9</f>
        <v>1462736.14</v>
      </c>
      <c r="Q9" s="6">
        <v>1343850.82</v>
      </c>
      <c r="R9" s="6">
        <f t="shared" si="7"/>
        <v>118885.31999999983</v>
      </c>
      <c r="S9" s="12"/>
      <c r="T9" s="12"/>
      <c r="U9" s="6">
        <f>1363007.05+R9-116800+100000</f>
        <v>1465092.3699999999</v>
      </c>
      <c r="V9" s="6">
        <v>1445180.63</v>
      </c>
      <c r="W9" s="6">
        <f t="shared" si="17"/>
        <v>19911.739999999991</v>
      </c>
      <c r="X9" s="9">
        <f t="shared" si="8"/>
        <v>2789031.45</v>
      </c>
      <c r="Y9" s="8">
        <f t="shared" si="0"/>
        <v>5868031.75</v>
      </c>
      <c r="Z9" s="8"/>
      <c r="AA9" s="8"/>
      <c r="AB9" s="8">
        <f>1421655.39+W9+46000+70000</f>
        <v>1557567.13</v>
      </c>
      <c r="AC9" s="8">
        <v>1556029.41</v>
      </c>
      <c r="AD9" s="8">
        <f t="shared" si="9"/>
        <v>1537.7199999999721</v>
      </c>
      <c r="AE9" s="10"/>
      <c r="AF9" s="10"/>
      <c r="AG9" s="8">
        <f>1554016.35+AD9-70000+601395</f>
        <v>2086949.07</v>
      </c>
      <c r="AH9" s="8">
        <v>1432441.86</v>
      </c>
      <c r="AI9" s="8">
        <f t="shared" si="3"/>
        <v>654507.21</v>
      </c>
      <c r="AJ9" s="7">
        <f t="shared" si="10"/>
        <v>2988471.27</v>
      </c>
      <c r="AK9" s="8">
        <f t="shared" si="1"/>
        <v>8856503.0199999996</v>
      </c>
      <c r="AL9" s="10"/>
      <c r="AM9" s="8"/>
      <c r="AN9" s="8">
        <f>1488585.43+AI9+70857.1</f>
        <v>2213949.7399999998</v>
      </c>
      <c r="AO9" s="8">
        <v>1403317.8</v>
      </c>
      <c r="AP9" s="8">
        <f t="shared" si="18"/>
        <v>810631.93999999971</v>
      </c>
      <c r="AQ9" s="10"/>
      <c r="AR9" s="10"/>
      <c r="AS9" s="8">
        <f>1516794.4+AP9</f>
        <v>2327426.34</v>
      </c>
      <c r="AT9" s="8">
        <v>1430982.5</v>
      </c>
      <c r="AU9" s="8">
        <f t="shared" si="11"/>
        <v>896443.83999999985</v>
      </c>
      <c r="AV9" s="7">
        <f t="shared" si="12"/>
        <v>2834300.3</v>
      </c>
      <c r="AW9" s="10">
        <f t="shared" si="2"/>
        <v>11690803.32</v>
      </c>
      <c r="AX9" s="10"/>
      <c r="AY9" s="8"/>
      <c r="AZ9" s="8">
        <f>1539153.16+AU9+584000</f>
        <v>3019597</v>
      </c>
      <c r="BA9" s="8">
        <v>1448933.05</v>
      </c>
      <c r="BB9" s="8">
        <f t="shared" si="13"/>
        <v>1570663.95</v>
      </c>
      <c r="BC9" s="10"/>
      <c r="BD9" s="10"/>
      <c r="BE9" s="8">
        <f>1392020.43+BB9+246600</f>
        <v>3209284.38</v>
      </c>
      <c r="BF9" s="8">
        <v>1439913.12</v>
      </c>
      <c r="BG9" s="8">
        <f t="shared" si="14"/>
        <v>1769371.2599999998</v>
      </c>
      <c r="BH9" s="7">
        <f t="shared" si="15"/>
        <v>2888846.17</v>
      </c>
      <c r="BI9" s="10"/>
      <c r="BJ9" s="10"/>
      <c r="BK9" s="10"/>
      <c r="BL9" s="8">
        <f>1524509.36+BG9</f>
        <v>3293880.62</v>
      </c>
      <c r="BM9" s="8"/>
      <c r="BN9" s="10"/>
      <c r="BO9" s="10"/>
      <c r="BP9" s="10"/>
      <c r="BQ9" s="8">
        <f>2644421.99-300000-400000-100000</f>
        <v>1844421.9900000002</v>
      </c>
      <c r="BR9" s="8"/>
      <c r="BS9" s="10"/>
      <c r="BT9" s="9">
        <f t="shared" si="16"/>
        <v>19717952.100000001</v>
      </c>
      <c r="BU9" s="9"/>
      <c r="BV9" s="11"/>
      <c r="IM9" s="3"/>
      <c r="IN9" s="3"/>
      <c r="IO9" s="3"/>
      <c r="IP9" s="3"/>
      <c r="IQ9" s="3"/>
      <c r="IR9" s="3"/>
      <c r="IS9" s="3"/>
      <c r="IT9" s="3"/>
    </row>
    <row r="10" spans="1:254" s="2" customFormat="1" ht="12.75" customHeight="1" x14ac:dyDescent="0.2">
      <c r="A10" s="5" t="s">
        <v>39</v>
      </c>
      <c r="B10" s="5">
        <v>95600140</v>
      </c>
      <c r="C10" s="6"/>
      <c r="D10" s="7"/>
      <c r="E10" s="6">
        <f>6298328.43+5428352.61-2926000</f>
        <v>8800681.0399999991</v>
      </c>
      <c r="F10" s="6">
        <v>7343824.0700000003</v>
      </c>
      <c r="G10" s="6">
        <f t="shared" si="4"/>
        <v>1456856.9699999988</v>
      </c>
      <c r="H10" s="12"/>
      <c r="I10" s="6"/>
      <c r="J10" s="6">
        <f>6311521.24+1408402.65+G10</f>
        <v>9176780.8599999994</v>
      </c>
      <c r="K10" s="6">
        <v>7796453.1500000004</v>
      </c>
      <c r="L10" s="6">
        <f t="shared" si="5"/>
        <v>1380327.709999999</v>
      </c>
      <c r="M10" s="7">
        <f t="shared" si="6"/>
        <v>15140277.220000001</v>
      </c>
      <c r="N10" s="13"/>
      <c r="O10" s="13"/>
      <c r="P10" s="6">
        <f>7458531.74+L10+2595340.31</f>
        <v>11434199.76</v>
      </c>
      <c r="Q10" s="6">
        <v>10983335.380000001</v>
      </c>
      <c r="R10" s="6">
        <f t="shared" si="7"/>
        <v>450864.37999999896</v>
      </c>
      <c r="S10" s="12"/>
      <c r="T10" s="12"/>
      <c r="U10" s="6">
        <f>7127468.42+R10+4545700</f>
        <v>12124032.799999999</v>
      </c>
      <c r="V10" s="6">
        <v>9915126.8699999992</v>
      </c>
      <c r="W10" s="6">
        <f t="shared" si="17"/>
        <v>2208905.9299999997</v>
      </c>
      <c r="X10" s="9">
        <f t="shared" si="8"/>
        <v>20898462.25</v>
      </c>
      <c r="Y10" s="8"/>
      <c r="Z10" s="8"/>
      <c r="AA10" s="8"/>
      <c r="AB10" s="8">
        <f>7434153.68+W10+584564.38</f>
        <v>10227623.99</v>
      </c>
      <c r="AC10" s="8">
        <v>9182446.2200000007</v>
      </c>
      <c r="AD10" s="8">
        <f t="shared" si="9"/>
        <v>1045177.7699999996</v>
      </c>
      <c r="AE10" s="10"/>
      <c r="AF10" s="10"/>
      <c r="AG10" s="8">
        <f>8126298.69+AD10+50000+1714790.23</f>
        <v>10936266.690000001</v>
      </c>
      <c r="AH10" s="8">
        <v>9215698</v>
      </c>
      <c r="AI10" s="8">
        <f t="shared" si="3"/>
        <v>1720568.6900000013</v>
      </c>
      <c r="AJ10" s="7">
        <f t="shared" si="10"/>
        <v>18398144.219999999</v>
      </c>
      <c r="AK10" s="8"/>
      <c r="AL10" s="10"/>
      <c r="AM10" s="8"/>
      <c r="AN10" s="8">
        <f>7784145.8-50000+AI10+1158620.91</f>
        <v>10613335.400000002</v>
      </c>
      <c r="AO10" s="8">
        <v>9520896.6099999994</v>
      </c>
      <c r="AP10" s="8">
        <f t="shared" si="18"/>
        <v>1092438.7900000028</v>
      </c>
      <c r="AQ10" s="10"/>
      <c r="AR10" s="10"/>
      <c r="AS10" s="8">
        <f>7931656.82+AP10+1671727.23</f>
        <v>10695822.840000004</v>
      </c>
      <c r="AT10" s="8">
        <v>8991758.1500000004</v>
      </c>
      <c r="AU10" s="8">
        <f t="shared" si="11"/>
        <v>1704064.6900000032</v>
      </c>
      <c r="AV10" s="7">
        <f t="shared" si="12"/>
        <v>18512654.759999998</v>
      </c>
      <c r="AW10" s="10"/>
      <c r="AX10" s="10"/>
      <c r="AY10" s="8"/>
      <c r="AZ10" s="8">
        <f>8048575.78+AU10+2050878.21</f>
        <v>11803518.680000003</v>
      </c>
      <c r="BA10" s="8">
        <v>8841779.4100000001</v>
      </c>
      <c r="BB10" s="8">
        <f t="shared" si="13"/>
        <v>2961739.2700000033</v>
      </c>
      <c r="BC10" s="10"/>
      <c r="BD10" s="10"/>
      <c r="BE10" s="8">
        <f>7279185.87+BB10+1892000</f>
        <v>12132925.140000004</v>
      </c>
      <c r="BF10" s="8">
        <v>9408589.1400000006</v>
      </c>
      <c r="BG10" s="8">
        <f t="shared" si="14"/>
        <v>2724336.0000000037</v>
      </c>
      <c r="BH10" s="7">
        <f t="shared" si="15"/>
        <v>18250368.550000001</v>
      </c>
      <c r="BI10" s="10"/>
      <c r="BJ10" s="10"/>
      <c r="BK10" s="10"/>
      <c r="BL10" s="8">
        <f>7972000.07+BG10</f>
        <v>10696336.070000004</v>
      </c>
      <c r="BM10" s="8"/>
      <c r="BN10" s="10"/>
      <c r="BO10" s="10"/>
      <c r="BP10" s="10"/>
      <c r="BQ10" s="8">
        <v>13828273.460000001</v>
      </c>
      <c r="BR10" s="8"/>
      <c r="BS10" s="10"/>
      <c r="BT10" s="9">
        <f t="shared" si="16"/>
        <v>115724516.53</v>
      </c>
      <c r="BU10" s="9"/>
      <c r="BV10" s="11"/>
      <c r="IM10" s="3"/>
      <c r="IN10" s="3"/>
      <c r="IO10" s="3"/>
      <c r="IP10" s="3"/>
      <c r="IQ10" s="3"/>
      <c r="IR10" s="3"/>
      <c r="IS10" s="3"/>
      <c r="IT10" s="3"/>
    </row>
    <row r="11" spans="1:254" s="2" customFormat="1" ht="12.75" customHeight="1" x14ac:dyDescent="0.2">
      <c r="A11" s="5" t="s">
        <v>29</v>
      </c>
      <c r="B11" s="5">
        <v>161574200</v>
      </c>
      <c r="C11" s="6"/>
      <c r="D11" s="7"/>
      <c r="E11" s="6">
        <f>10644831.41+12612702.24-6110000</f>
        <v>17147533.649999999</v>
      </c>
      <c r="F11" s="6">
        <v>10119592.689999999</v>
      </c>
      <c r="G11" s="6">
        <f t="shared" si="4"/>
        <v>7027940.959999999</v>
      </c>
      <c r="H11" s="6"/>
      <c r="I11" s="6"/>
      <c r="J11" s="6">
        <f>10667128.69+79715.03+G11</f>
        <v>17774784.68</v>
      </c>
      <c r="K11" s="6">
        <v>9677193.5700000003</v>
      </c>
      <c r="L11" s="6">
        <f t="shared" si="5"/>
        <v>8097591.1099999994</v>
      </c>
      <c r="M11" s="7">
        <f t="shared" si="6"/>
        <v>19796786.259999998</v>
      </c>
      <c r="N11" s="13"/>
      <c r="O11" s="13"/>
      <c r="P11" s="6">
        <f>12605695.93+L11+631686.68</f>
        <v>21334973.719999999</v>
      </c>
      <c r="Q11" s="6">
        <v>11197301.439999999</v>
      </c>
      <c r="R11" s="6">
        <f t="shared" si="7"/>
        <v>10137672.279999999</v>
      </c>
      <c r="S11" s="12"/>
      <c r="T11" s="12"/>
      <c r="U11" s="6">
        <f>12046164.48+R11+588450.49</f>
        <v>22772287.249999996</v>
      </c>
      <c r="V11" s="6">
        <v>12932264.01</v>
      </c>
      <c r="W11" s="6">
        <f t="shared" si="17"/>
        <v>9840023.2399999965</v>
      </c>
      <c r="X11" s="9">
        <f t="shared" si="8"/>
        <v>24129565.449999999</v>
      </c>
      <c r="Y11" s="8">
        <f t="shared" si="0"/>
        <v>43926351.709999993</v>
      </c>
      <c r="Z11" s="8"/>
      <c r="AA11" s="8"/>
      <c r="AB11" s="6">
        <f>12564494.52+W11+880556.63</f>
        <v>23285074.389999997</v>
      </c>
      <c r="AC11" s="8">
        <v>14259147.189999999</v>
      </c>
      <c r="AD11" s="8">
        <f t="shared" si="9"/>
        <v>9025927.1999999974</v>
      </c>
      <c r="AE11" s="10"/>
      <c r="AF11" s="10"/>
      <c r="AG11" s="6">
        <f>13734291.72+AD11+1500500</f>
        <v>24260718.919999998</v>
      </c>
      <c r="AH11" s="8">
        <v>13379399.859999999</v>
      </c>
      <c r="AI11" s="8">
        <f t="shared" si="3"/>
        <v>10881319.059999999</v>
      </c>
      <c r="AJ11" s="7">
        <f t="shared" si="10"/>
        <v>27638547.049999997</v>
      </c>
      <c r="AK11" s="8">
        <f t="shared" si="1"/>
        <v>71564898.75999999</v>
      </c>
      <c r="AL11" s="10"/>
      <c r="AM11" s="8"/>
      <c r="AN11" s="6">
        <f>13156017.66+AI11+65500.65</f>
        <v>24102837.369999997</v>
      </c>
      <c r="AO11" s="8">
        <v>13551050.26</v>
      </c>
      <c r="AP11" s="8">
        <f t="shared" si="18"/>
        <v>10551787.109999998</v>
      </c>
      <c r="AQ11" s="10"/>
      <c r="AR11" s="10"/>
      <c r="AS11" s="6">
        <f>13405326.65+AP11+171997.44</f>
        <v>24129111.199999999</v>
      </c>
      <c r="AT11" s="8">
        <v>13679480.199999999</v>
      </c>
      <c r="AU11" s="8">
        <f t="shared" si="11"/>
        <v>10449631</v>
      </c>
      <c r="AV11" s="7">
        <f t="shared" si="12"/>
        <v>27230530.460000001</v>
      </c>
      <c r="AW11" s="10">
        <f t="shared" si="2"/>
        <v>98795429.219999999</v>
      </c>
      <c r="AX11" s="10"/>
      <c r="AY11" s="8"/>
      <c r="AZ11" s="6">
        <f>13602931.9+AU11-29600</f>
        <v>24022962.899999999</v>
      </c>
      <c r="BA11" s="8">
        <v>13998434.26</v>
      </c>
      <c r="BB11" s="8">
        <f t="shared" si="13"/>
        <v>10024528.639999999</v>
      </c>
      <c r="BC11" s="10"/>
      <c r="BD11" s="10"/>
      <c r="BE11" s="6">
        <f>12302582.74+BB11+12020</f>
        <v>22339131.379999999</v>
      </c>
      <c r="BF11" s="8">
        <v>13846899.09</v>
      </c>
      <c r="BG11" s="8">
        <f t="shared" si="14"/>
        <v>8492232.2899999991</v>
      </c>
      <c r="BH11" s="7">
        <f t="shared" si="15"/>
        <v>27845333.350000001</v>
      </c>
      <c r="BI11" s="10"/>
      <c r="BJ11" s="10"/>
      <c r="BK11" s="10"/>
      <c r="BL11" s="6">
        <f>13473510.98+BG11</f>
        <v>21965743.27</v>
      </c>
      <c r="BM11" s="8"/>
      <c r="BN11" s="10"/>
      <c r="BO11" s="10"/>
      <c r="BP11" s="10"/>
      <c r="BQ11" s="8">
        <v>23371223.32</v>
      </c>
      <c r="BR11" s="8"/>
      <c r="BS11" s="10"/>
      <c r="BT11" s="9">
        <f t="shared" si="16"/>
        <v>171977729.16</v>
      </c>
      <c r="BU11" s="9"/>
      <c r="BV11" s="11"/>
      <c r="IM11" s="3"/>
      <c r="IN11" s="3"/>
      <c r="IO11" s="3"/>
      <c r="IP11" s="3"/>
      <c r="IQ11" s="3"/>
      <c r="IR11" s="3"/>
      <c r="IS11" s="3"/>
      <c r="IT11" s="3"/>
    </row>
    <row r="12" spans="1:254" s="2" customFormat="1" ht="12.75" customHeight="1" x14ac:dyDescent="0.2">
      <c r="A12" s="5" t="s">
        <v>43</v>
      </c>
      <c r="B12" s="5">
        <v>5448000</v>
      </c>
      <c r="C12" s="6"/>
      <c r="D12" s="7"/>
      <c r="E12" s="6">
        <f>358925.15+6364340.24-123323.6</f>
        <v>6599941.790000001</v>
      </c>
      <c r="F12" s="6">
        <v>501258.27</v>
      </c>
      <c r="G12" s="6">
        <f t="shared" si="4"/>
        <v>6098683.5200000014</v>
      </c>
      <c r="H12" s="6"/>
      <c r="I12" s="6"/>
      <c r="J12" s="6">
        <f>359676.96+220858.1+G12</f>
        <v>6679218.5800000019</v>
      </c>
      <c r="K12" s="6">
        <v>540888.1</v>
      </c>
      <c r="L12" s="6">
        <f t="shared" si="5"/>
        <v>6138330.4800000023</v>
      </c>
      <c r="M12" s="7">
        <f t="shared" si="6"/>
        <v>1042146.37</v>
      </c>
      <c r="N12" s="13"/>
      <c r="O12" s="13"/>
      <c r="P12" s="6">
        <f>425042.07+L12+97529.56</f>
        <v>6660902.1100000022</v>
      </c>
      <c r="Q12" s="6">
        <v>357662.31</v>
      </c>
      <c r="R12" s="6">
        <f t="shared" si="7"/>
        <v>6303239.8000000026</v>
      </c>
      <c r="S12" s="12"/>
      <c r="T12" s="12"/>
      <c r="U12" s="6">
        <f>406175.63+R12-68344.6</f>
        <v>6641070.8300000029</v>
      </c>
      <c r="V12" s="6">
        <v>371536.22</v>
      </c>
      <c r="W12" s="6">
        <f t="shared" si="17"/>
        <v>6269534.6100000031</v>
      </c>
      <c r="X12" s="9">
        <f t="shared" si="8"/>
        <v>729198.53</v>
      </c>
      <c r="Y12" s="8"/>
      <c r="Z12" s="8"/>
      <c r="AA12" s="8"/>
      <c r="AB12" s="8">
        <f>423652.82+W12-14818.18</f>
        <v>6678369.2500000037</v>
      </c>
      <c r="AC12" s="8">
        <v>380090.51</v>
      </c>
      <c r="AD12" s="8">
        <f t="shared" si="9"/>
        <v>6298278.7400000039</v>
      </c>
      <c r="AE12" s="10"/>
      <c r="AF12" s="10"/>
      <c r="AG12" s="8">
        <f>463096.34+AD12</f>
        <v>6761375.0800000038</v>
      </c>
      <c r="AH12" s="8">
        <v>476263.79</v>
      </c>
      <c r="AI12" s="8">
        <f t="shared" si="3"/>
        <v>6285111.2900000038</v>
      </c>
      <c r="AJ12" s="7">
        <f t="shared" si="10"/>
        <v>856354.3</v>
      </c>
      <c r="AK12" s="8"/>
      <c r="AL12" s="10"/>
      <c r="AM12" s="8"/>
      <c r="AN12" s="8">
        <f>443597.95+AI12+56770</f>
        <v>6785479.2400000039</v>
      </c>
      <c r="AO12" s="8">
        <v>506070.32</v>
      </c>
      <c r="AP12" s="8">
        <f t="shared" si="18"/>
        <v>6279408.9200000037</v>
      </c>
      <c r="AQ12" s="10"/>
      <c r="AR12" s="10"/>
      <c r="AS12" s="8">
        <f>452004.22+AP12+11400</f>
        <v>6742813.1400000034</v>
      </c>
      <c r="AT12" s="8">
        <v>396304.5</v>
      </c>
      <c r="AU12" s="8">
        <f t="shared" si="11"/>
        <v>6346508.6400000034</v>
      </c>
      <c r="AV12" s="7">
        <f t="shared" si="12"/>
        <v>902374.82000000007</v>
      </c>
      <c r="AW12" s="10"/>
      <c r="AX12" s="10"/>
      <c r="AY12" s="8"/>
      <c r="AZ12" s="8">
        <f>458667.12+AU12</f>
        <v>6805175.7600000035</v>
      </c>
      <c r="BA12" s="8">
        <v>454309.97</v>
      </c>
      <c r="BB12" s="8">
        <f t="shared" si="13"/>
        <v>6350865.7900000038</v>
      </c>
      <c r="BC12" s="10"/>
      <c r="BD12" s="10"/>
      <c r="BE12" s="8">
        <f>414821.61+BB12-20336</f>
        <v>6745351.4000000041</v>
      </c>
      <c r="BF12" s="8">
        <v>436962.2</v>
      </c>
      <c r="BG12" s="8">
        <f t="shared" si="14"/>
        <v>6308389.2000000039</v>
      </c>
      <c r="BH12" s="7">
        <f t="shared" si="15"/>
        <v>891272.16999999993</v>
      </c>
      <c r="BI12" s="10"/>
      <c r="BJ12" s="10"/>
      <c r="BK12" s="10"/>
      <c r="BL12" s="8">
        <f>454303.27+BG12</f>
        <v>6762692.4700000044</v>
      </c>
      <c r="BM12" s="8"/>
      <c r="BN12" s="10"/>
      <c r="BO12" s="10"/>
      <c r="BP12" s="10"/>
      <c r="BQ12" s="8">
        <v>788036.86</v>
      </c>
      <c r="BR12" s="8"/>
      <c r="BS12" s="10"/>
      <c r="BT12" s="9">
        <f t="shared" si="16"/>
        <v>11972075.520000003</v>
      </c>
      <c r="BU12" s="9"/>
      <c r="BV12" s="11"/>
      <c r="IM12" s="3"/>
      <c r="IN12" s="3"/>
      <c r="IO12" s="3"/>
      <c r="IP12" s="3"/>
      <c r="IQ12" s="3"/>
      <c r="IR12" s="3"/>
      <c r="IS12" s="3"/>
      <c r="IT12" s="3"/>
    </row>
    <row r="13" spans="1:254" s="2" customFormat="1" ht="12.75" customHeight="1" x14ac:dyDescent="0.2">
      <c r="A13" s="5" t="s">
        <v>44</v>
      </c>
      <c r="B13" s="5">
        <v>12155108</v>
      </c>
      <c r="C13" s="6"/>
      <c r="D13" s="7"/>
      <c r="E13" s="6">
        <f>800802.79+1216524.2-525200</f>
        <v>1492126.99</v>
      </c>
      <c r="F13" s="6">
        <v>831540.03</v>
      </c>
      <c r="G13" s="6">
        <f t="shared" si="4"/>
        <v>660586.96</v>
      </c>
      <c r="H13" s="6"/>
      <c r="I13" s="6"/>
      <c r="J13" s="6">
        <f>802480.23+284144.25+G13</f>
        <v>1747211.44</v>
      </c>
      <c r="K13" s="6">
        <v>857563.85</v>
      </c>
      <c r="L13" s="6">
        <f t="shared" si="5"/>
        <v>889647.59</v>
      </c>
      <c r="M13" s="7">
        <f t="shared" si="6"/>
        <v>1689103.88</v>
      </c>
      <c r="N13" s="13"/>
      <c r="O13" s="13"/>
      <c r="P13" s="6">
        <f>948317.22+L13+4000</f>
        <v>1841964.81</v>
      </c>
      <c r="Q13" s="6">
        <v>842028.16</v>
      </c>
      <c r="R13" s="6">
        <f t="shared" si="7"/>
        <v>999936.65</v>
      </c>
      <c r="S13" s="12"/>
      <c r="T13" s="12"/>
      <c r="U13" s="6">
        <f>906224.07+R13-47309.59</f>
        <v>1858851.13</v>
      </c>
      <c r="V13" s="6">
        <v>1048596.3700000001</v>
      </c>
      <c r="W13" s="6">
        <f t="shared" si="17"/>
        <v>810254.75999999978</v>
      </c>
      <c r="X13" s="9">
        <f t="shared" si="8"/>
        <v>1890624.5300000003</v>
      </c>
      <c r="Y13" s="8">
        <f t="shared" si="0"/>
        <v>3579728.41</v>
      </c>
      <c r="Z13" s="8"/>
      <c r="AA13" s="8"/>
      <c r="AB13" s="8">
        <f>945217.67+W13-4800</f>
        <v>1750672.4299999997</v>
      </c>
      <c r="AC13" s="8">
        <v>869347.73</v>
      </c>
      <c r="AD13" s="8">
        <f t="shared" si="9"/>
        <v>881324.69999999972</v>
      </c>
      <c r="AE13" s="10"/>
      <c r="AF13" s="10"/>
      <c r="AG13" s="8">
        <f>1033220.65+AD13+230000</f>
        <v>2144545.3499999996</v>
      </c>
      <c r="AH13" s="8">
        <v>842719.79</v>
      </c>
      <c r="AI13" s="8">
        <f t="shared" si="3"/>
        <v>1301825.5599999996</v>
      </c>
      <c r="AJ13" s="7">
        <f t="shared" si="10"/>
        <v>1712067.52</v>
      </c>
      <c r="AK13" s="8">
        <f t="shared" si="1"/>
        <v>5291795.93</v>
      </c>
      <c r="AL13" s="10"/>
      <c r="AM13" s="8"/>
      <c r="AN13" s="8">
        <f>989717.53+AI13+380595.36</f>
        <v>2672138.4499999997</v>
      </c>
      <c r="AO13" s="8">
        <v>773118.91</v>
      </c>
      <c r="AP13" s="8">
        <f t="shared" si="18"/>
        <v>1899019.5399999996</v>
      </c>
      <c r="AQ13" s="10"/>
      <c r="AR13" s="10"/>
      <c r="AS13" s="8">
        <f>1008472.85+AP13+334561.6</f>
        <v>3242053.9899999998</v>
      </c>
      <c r="AT13" s="8">
        <v>1034661.83</v>
      </c>
      <c r="AU13" s="8">
        <f t="shared" si="11"/>
        <v>2207392.1599999997</v>
      </c>
      <c r="AV13" s="7">
        <f t="shared" si="12"/>
        <v>1807780.74</v>
      </c>
      <c r="AW13" s="10">
        <f t="shared" si="2"/>
        <v>7099576.6699999999</v>
      </c>
      <c r="AX13" s="10"/>
      <c r="AY13" s="8"/>
      <c r="AZ13" s="8">
        <f>1023338.54+AU13-10000</f>
        <v>3220730.6999999997</v>
      </c>
      <c r="BA13" s="8">
        <v>760321.61</v>
      </c>
      <c r="BB13" s="8">
        <f t="shared" si="13"/>
        <v>2460409.09</v>
      </c>
      <c r="BC13" s="10"/>
      <c r="BD13" s="10"/>
      <c r="BE13" s="8">
        <f>925514.22+BB13+360900</f>
        <v>3746823.3099999996</v>
      </c>
      <c r="BF13" s="8">
        <v>838178.97</v>
      </c>
      <c r="BG13" s="8">
        <f>BE13-BF13</f>
        <v>2908644.34</v>
      </c>
      <c r="BH13" s="7">
        <f t="shared" si="15"/>
        <v>1598500.58</v>
      </c>
      <c r="BI13" s="10"/>
      <c r="BJ13" s="10"/>
      <c r="BK13" s="10"/>
      <c r="BL13" s="8">
        <f>1013602.32+BG13</f>
        <v>3922246.6599999997</v>
      </c>
      <c r="BM13" s="8"/>
      <c r="BN13" s="10"/>
      <c r="BO13" s="10"/>
      <c r="BP13" s="10"/>
      <c r="BQ13" s="8">
        <v>1758199.91</v>
      </c>
      <c r="BR13" s="8"/>
      <c r="BS13" s="10"/>
      <c r="BT13" s="9">
        <f t="shared" si="16"/>
        <v>14378523.82</v>
      </c>
      <c r="BU13" s="9"/>
      <c r="BV13" s="11"/>
      <c r="IM13" s="3"/>
      <c r="IN13" s="3"/>
      <c r="IO13" s="3"/>
      <c r="IP13" s="3"/>
      <c r="IQ13" s="3"/>
      <c r="IR13" s="3"/>
      <c r="IS13" s="3"/>
      <c r="IT13" s="3"/>
    </row>
    <row r="14" spans="1:254" s="2" customFormat="1" ht="12.75" customHeight="1" x14ac:dyDescent="0.2">
      <c r="A14" s="5" t="s">
        <v>45</v>
      </c>
      <c r="B14" s="5">
        <v>4073800</v>
      </c>
      <c r="C14" s="6"/>
      <c r="D14" s="7"/>
      <c r="E14" s="6">
        <f>268390.08+1554496.5-29000</f>
        <v>1793886.58</v>
      </c>
      <c r="F14" s="6">
        <v>307736.27</v>
      </c>
      <c r="G14" s="6">
        <f t="shared" si="4"/>
        <v>1486150.31</v>
      </c>
      <c r="H14" s="6"/>
      <c r="I14" s="6"/>
      <c r="J14" s="6">
        <f>268952.28+13000+G14</f>
        <v>1768102.59</v>
      </c>
      <c r="K14" s="6">
        <v>272367.46000000002</v>
      </c>
      <c r="L14" s="6">
        <f>J14-K14</f>
        <v>1495735.1300000001</v>
      </c>
      <c r="M14" s="7">
        <f t="shared" si="6"/>
        <v>580103.73</v>
      </c>
      <c r="N14" s="6"/>
      <c r="O14" s="13"/>
      <c r="P14" s="6">
        <f>317829.72+L14+5500</f>
        <v>1819064.85</v>
      </c>
      <c r="Q14" s="6">
        <v>351226.54</v>
      </c>
      <c r="R14" s="6">
        <f>P14-Q14</f>
        <v>1467838.31</v>
      </c>
      <c r="S14" s="12"/>
      <c r="T14" s="12"/>
      <c r="U14" s="6">
        <f>303722.16+R14-45900</f>
        <v>1725660.47</v>
      </c>
      <c r="V14" s="6">
        <v>349994.39</v>
      </c>
      <c r="W14" s="6">
        <f>U14-V14</f>
        <v>1375666.08</v>
      </c>
      <c r="X14" s="9">
        <f t="shared" si="8"/>
        <v>701220.92999999993</v>
      </c>
      <c r="Y14" s="8"/>
      <c r="Z14" s="8"/>
      <c r="AA14" s="8"/>
      <c r="AB14" s="8">
        <f>316790.91+W14-27121.86</f>
        <v>1665335.13</v>
      </c>
      <c r="AC14" s="8">
        <v>397032.08</v>
      </c>
      <c r="AD14" s="8">
        <f t="shared" si="9"/>
        <v>1268303.0499999998</v>
      </c>
      <c r="AE14" s="10"/>
      <c r="AF14" s="10"/>
      <c r="AG14" s="8">
        <f>346285.22+AD14</f>
        <v>1614588.2699999998</v>
      </c>
      <c r="AH14" s="8">
        <v>276246.92</v>
      </c>
      <c r="AI14" s="8">
        <f t="shared" si="3"/>
        <v>1338341.3499999999</v>
      </c>
      <c r="AJ14" s="7">
        <f t="shared" si="10"/>
        <v>673279</v>
      </c>
      <c r="AK14" s="8"/>
      <c r="AL14" s="10"/>
      <c r="AM14" s="8"/>
      <c r="AN14" s="8">
        <f>331705.09+AI14-18650</f>
        <v>1651396.44</v>
      </c>
      <c r="AO14" s="8">
        <v>981257.96</v>
      </c>
      <c r="AP14" s="8">
        <f t="shared" si="18"/>
        <v>670138.48</v>
      </c>
      <c r="AQ14" s="10"/>
      <c r="AR14" s="10"/>
      <c r="AS14" s="8">
        <f>337990.97+AP14-29815</f>
        <v>978314.45</v>
      </c>
      <c r="AT14" s="8">
        <v>570585.68999999994</v>
      </c>
      <c r="AU14" s="8">
        <f t="shared" si="11"/>
        <v>407728.76</v>
      </c>
      <c r="AV14" s="7">
        <f t="shared" si="12"/>
        <v>1551843.65</v>
      </c>
      <c r="AW14" s="10"/>
      <c r="AX14" s="10"/>
      <c r="AY14" s="8"/>
      <c r="AZ14" s="8">
        <f>342973.22+AU14+15000</f>
        <v>765701.98</v>
      </c>
      <c r="BA14" s="8">
        <v>343476.5</v>
      </c>
      <c r="BB14" s="8">
        <f t="shared" si="13"/>
        <v>422225.48</v>
      </c>
      <c r="BC14" s="10"/>
      <c r="BD14" s="10"/>
      <c r="BE14" s="8">
        <f>310187.29+BB14+199000</f>
        <v>931412.77</v>
      </c>
      <c r="BF14" s="8">
        <v>327202.03000000003</v>
      </c>
      <c r="BG14" s="8">
        <f t="shared" si="14"/>
        <v>604210.74</v>
      </c>
      <c r="BH14" s="7">
        <f t="shared" si="15"/>
        <v>670678.53</v>
      </c>
      <c r="BI14" s="10"/>
      <c r="BJ14" s="10"/>
      <c r="BK14" s="10"/>
      <c r="BL14" s="8">
        <f>339710.11+BG14</f>
        <v>943920.85</v>
      </c>
      <c r="BM14" s="8"/>
      <c r="BN14" s="10"/>
      <c r="BO14" s="10"/>
      <c r="BP14" s="10"/>
      <c r="BQ14" s="8">
        <v>589262.94999999995</v>
      </c>
      <c r="BR14" s="8"/>
      <c r="BS14" s="10"/>
      <c r="BT14" s="9">
        <f>M14+X14+AJ14+AV14+BH14+BL14+BQ14</f>
        <v>5710309.6399999997</v>
      </c>
      <c r="BU14" s="9"/>
      <c r="BV14" s="11"/>
      <c r="IM14" s="3"/>
      <c r="IN14" s="3"/>
      <c r="IO14" s="3"/>
      <c r="IP14" s="3"/>
      <c r="IQ14" s="3"/>
      <c r="IR14" s="3"/>
      <c r="IS14" s="3"/>
      <c r="IT14" s="3"/>
    </row>
    <row r="15" spans="1:254" s="2" customFormat="1" ht="12.75" customHeight="1" x14ac:dyDescent="0.2">
      <c r="A15" s="5" t="s">
        <v>46</v>
      </c>
      <c r="B15" s="5">
        <v>2550000</v>
      </c>
      <c r="C15" s="6"/>
      <c r="D15" s="7"/>
      <c r="E15" s="6">
        <f>167999.1+31800-25500+15000</f>
        <v>189299.1</v>
      </c>
      <c r="F15" s="6">
        <v>186230.36</v>
      </c>
      <c r="G15" s="6">
        <f t="shared" si="4"/>
        <v>3068.7400000000198</v>
      </c>
      <c r="H15" s="6"/>
      <c r="I15" s="6"/>
      <c r="J15" s="6">
        <f>168351+30000+G15</f>
        <v>201419.74000000002</v>
      </c>
      <c r="K15" s="6">
        <v>188454</v>
      </c>
      <c r="L15" s="6">
        <f t="shared" si="5"/>
        <v>12965.74000000002</v>
      </c>
      <c r="M15" s="7">
        <f t="shared" si="6"/>
        <v>374684.36</v>
      </c>
      <c r="N15" s="6"/>
      <c r="O15" s="13"/>
      <c r="P15" s="6">
        <f>198945.9+L15</f>
        <v>211911.64</v>
      </c>
      <c r="Q15" s="6">
        <v>182138.64</v>
      </c>
      <c r="R15" s="6">
        <f t="shared" si="7"/>
        <v>29773</v>
      </c>
      <c r="S15" s="12"/>
      <c r="T15" s="12"/>
      <c r="U15" s="6">
        <f>190115.24+R15+73800</f>
        <v>293688.24</v>
      </c>
      <c r="V15" s="6">
        <v>190464.07</v>
      </c>
      <c r="W15" s="6">
        <f t="shared" si="17"/>
        <v>103224.16999999998</v>
      </c>
      <c r="X15" s="9">
        <f t="shared" si="8"/>
        <v>372602.71</v>
      </c>
      <c r="Y15" s="8">
        <f t="shared" si="0"/>
        <v>747287.07000000007</v>
      </c>
      <c r="Z15" s="8"/>
      <c r="AA15" s="8"/>
      <c r="AB15" s="8">
        <f>198295.65+W15-8351.85</f>
        <v>293167.96999999997</v>
      </c>
      <c r="AC15" s="8">
        <v>199791.81</v>
      </c>
      <c r="AD15" s="8">
        <f t="shared" si="9"/>
        <v>93376.159999999974</v>
      </c>
      <c r="AE15" s="10"/>
      <c r="AF15" s="10"/>
      <c r="AG15" s="8">
        <f>216757.65+AD15</f>
        <v>310133.80999999994</v>
      </c>
      <c r="AH15" s="8">
        <v>188813.23</v>
      </c>
      <c r="AI15" s="8">
        <f t="shared" si="3"/>
        <v>121320.57999999993</v>
      </c>
      <c r="AJ15" s="7">
        <f t="shared" si="10"/>
        <v>388605.04000000004</v>
      </c>
      <c r="AK15" s="8">
        <f t="shared" si="1"/>
        <v>1135892.1100000001</v>
      </c>
      <c r="AL15" s="10"/>
      <c r="AM15" s="8"/>
      <c r="AN15" s="8">
        <f>207631.21+AI15-70400</f>
        <v>258551.78999999992</v>
      </c>
      <c r="AO15" s="8">
        <v>193419.81</v>
      </c>
      <c r="AP15" s="8">
        <f t="shared" si="18"/>
        <v>65131.979999999923</v>
      </c>
      <c r="AQ15" s="10"/>
      <c r="AR15" s="10"/>
      <c r="AS15" s="8">
        <f>211565.85+AP15+13450</f>
        <v>290147.82999999996</v>
      </c>
      <c r="AT15" s="8">
        <v>191154.07</v>
      </c>
      <c r="AU15" s="8">
        <f t="shared" si="11"/>
        <v>98993.759999999951</v>
      </c>
      <c r="AV15" s="7">
        <f t="shared" si="12"/>
        <v>384573.88</v>
      </c>
      <c r="AW15" s="10">
        <f t="shared" si="2"/>
        <v>1520465.9900000002</v>
      </c>
      <c r="AX15" s="10"/>
      <c r="AY15" s="8"/>
      <c r="AZ15" s="8">
        <f>214684.5+AU15+10000</f>
        <v>323678.25999999995</v>
      </c>
      <c r="BA15" s="8">
        <v>191971.44</v>
      </c>
      <c r="BB15" s="8">
        <f t="shared" si="13"/>
        <v>131706.81999999995</v>
      </c>
      <c r="BC15" s="10"/>
      <c r="BD15" s="10"/>
      <c r="BE15" s="8">
        <f>194162.1+BB15+111280</f>
        <v>437148.91999999993</v>
      </c>
      <c r="BF15" s="8">
        <v>266716.07</v>
      </c>
      <c r="BG15" s="8">
        <f t="shared" si="14"/>
        <v>170432.84999999992</v>
      </c>
      <c r="BH15" s="7">
        <f t="shared" si="15"/>
        <v>458687.51</v>
      </c>
      <c r="BI15" s="10"/>
      <c r="BJ15" s="10"/>
      <c r="BK15" s="10"/>
      <c r="BL15" s="8">
        <f>212641.95+BG15</f>
        <v>383074.79999999993</v>
      </c>
      <c r="BM15" s="8"/>
      <c r="BN15" s="10"/>
      <c r="BO15" s="10"/>
      <c r="BP15" s="10"/>
      <c r="BQ15" s="8">
        <f>368849.85-15000</f>
        <v>353849.85</v>
      </c>
      <c r="BR15" s="8"/>
      <c r="BS15" s="10"/>
      <c r="BT15" s="9">
        <f t="shared" si="16"/>
        <v>2716078.1500000004</v>
      </c>
      <c r="BU15" s="9"/>
      <c r="BV15" s="11"/>
      <c r="IM15" s="3"/>
      <c r="IN15" s="3"/>
      <c r="IO15" s="3"/>
      <c r="IP15" s="3"/>
      <c r="IQ15" s="3"/>
      <c r="IR15" s="3"/>
      <c r="IS15" s="3"/>
      <c r="IT15" s="3"/>
    </row>
    <row r="16" spans="1:254" s="2" customFormat="1" ht="12.75" customHeight="1" x14ac:dyDescent="0.2">
      <c r="A16" s="5" t="s">
        <v>47</v>
      </c>
      <c r="B16" s="5">
        <v>41610867.299999997</v>
      </c>
      <c r="C16" s="6"/>
      <c r="D16" s="7"/>
      <c r="E16" s="6">
        <f>2741407.16+109000-15000</f>
        <v>2835407.16</v>
      </c>
      <c r="F16" s="6">
        <v>748486.57</v>
      </c>
      <c r="G16" s="6">
        <f t="shared" si="4"/>
        <v>2086920.5900000003</v>
      </c>
      <c r="H16" s="6"/>
      <c r="I16" s="6"/>
      <c r="J16" s="6">
        <f>2747149.46+G16</f>
        <v>4834070.0500000007</v>
      </c>
      <c r="K16" s="6">
        <v>838570.7</v>
      </c>
      <c r="L16" s="6">
        <f t="shared" si="5"/>
        <v>3995499.3500000006</v>
      </c>
      <c r="M16" s="7">
        <f t="shared" si="6"/>
        <v>1587057.27</v>
      </c>
      <c r="N16" s="6"/>
      <c r="O16" s="13"/>
      <c r="P16" s="6">
        <f>3246396.65+L16+1600000</f>
        <v>8841896</v>
      </c>
      <c r="Q16" s="6">
        <v>739225.45</v>
      </c>
      <c r="R16" s="6">
        <f t="shared" si="7"/>
        <v>8102670.5499999998</v>
      </c>
      <c r="S16" s="12"/>
      <c r="T16" s="12"/>
      <c r="U16" s="6">
        <f>3102298.22+R16-27200</f>
        <v>11177768.77</v>
      </c>
      <c r="V16" s="6">
        <v>684637.18</v>
      </c>
      <c r="W16" s="6">
        <f t="shared" si="17"/>
        <v>10493131.59</v>
      </c>
      <c r="X16" s="9">
        <f t="shared" si="8"/>
        <v>1423862.63</v>
      </c>
      <c r="Y16" s="8">
        <f t="shared" si="0"/>
        <v>3010919.9</v>
      </c>
      <c r="Z16" s="8"/>
      <c r="AA16" s="8"/>
      <c r="AB16" s="8">
        <f>3235785.87+W16-19751.11</f>
        <v>13709166.350000001</v>
      </c>
      <c r="AC16" s="8">
        <v>767323.31</v>
      </c>
      <c r="AD16" s="8">
        <f t="shared" si="9"/>
        <v>12941843.040000001</v>
      </c>
      <c r="AE16" s="10"/>
      <c r="AF16" s="10"/>
      <c r="AG16" s="8">
        <f>3537048.55+AD16-1441790.23</f>
        <v>15037101.359999999</v>
      </c>
      <c r="AH16" s="8">
        <v>738675.14</v>
      </c>
      <c r="AI16" s="8">
        <f t="shared" si="3"/>
        <v>14298426.219999999</v>
      </c>
      <c r="AJ16" s="7">
        <f t="shared" si="10"/>
        <v>1505998.4500000002</v>
      </c>
      <c r="AK16" s="8">
        <f t="shared" si="1"/>
        <v>4516918.3499999996</v>
      </c>
      <c r="AL16" s="10"/>
      <c r="AM16" s="8"/>
      <c r="AN16" s="8">
        <f>3388123.26+AI16-11000</f>
        <v>17675549.479999997</v>
      </c>
      <c r="AO16" s="8">
        <v>910976.79</v>
      </c>
      <c r="AP16" s="8">
        <f t="shared" si="18"/>
        <v>16764572.689999998</v>
      </c>
      <c r="AQ16" s="10"/>
      <c r="AR16" s="10"/>
      <c r="AS16" s="8">
        <f>3452328.83+AP16</f>
        <v>20216901.519999996</v>
      </c>
      <c r="AT16" s="8">
        <v>916434.53</v>
      </c>
      <c r="AU16" s="8">
        <f t="shared" si="11"/>
        <v>19300466.989999995</v>
      </c>
      <c r="AV16" s="7">
        <f t="shared" si="12"/>
        <v>1827411.32</v>
      </c>
      <c r="AW16" s="10">
        <f t="shared" si="2"/>
        <v>6344329.6699999999</v>
      </c>
      <c r="AX16" s="10"/>
      <c r="AY16" s="8"/>
      <c r="AZ16" s="8">
        <f>3503218.92+AU16-57419</f>
        <v>22746266.909999996</v>
      </c>
      <c r="BA16" s="8">
        <v>740292.27</v>
      </c>
      <c r="BB16" s="8">
        <f t="shared" si="13"/>
        <v>22005974.639999997</v>
      </c>
      <c r="BC16" s="10"/>
      <c r="BD16" s="10"/>
      <c r="BE16" s="8">
        <f>3168334.65+BB16+14300</f>
        <v>25188609.289999995</v>
      </c>
      <c r="BF16" s="8">
        <v>1174758.5900000001</v>
      </c>
      <c r="BG16" s="8">
        <f t="shared" si="14"/>
        <v>24013850.699999996</v>
      </c>
      <c r="BH16" s="7">
        <f t="shared" si="15"/>
        <v>1915050.86</v>
      </c>
      <c r="BI16" s="10"/>
      <c r="BJ16" s="10"/>
      <c r="BK16" s="10"/>
      <c r="BL16" s="8">
        <f>3469888.61+BG16</f>
        <v>27483739.309999995</v>
      </c>
      <c r="BM16" s="8"/>
      <c r="BN16" s="10"/>
      <c r="BO16" s="10"/>
      <c r="BP16" s="10"/>
      <c r="BQ16" s="8">
        <v>6018887.1200000001</v>
      </c>
      <c r="BR16" s="8"/>
      <c r="BS16" s="10"/>
      <c r="BT16" s="9">
        <f t="shared" si="16"/>
        <v>41762006.959999993</v>
      </c>
      <c r="BU16" s="9"/>
      <c r="BV16" s="11"/>
      <c r="IM16" s="3"/>
      <c r="IN16" s="3"/>
      <c r="IO16" s="3"/>
      <c r="IP16" s="3"/>
      <c r="IQ16" s="3"/>
      <c r="IR16" s="3"/>
      <c r="IS16" s="3"/>
      <c r="IT16" s="3"/>
    </row>
    <row r="17" spans="1:254" s="2" customFormat="1" ht="12.75" customHeight="1" x14ac:dyDescent="0.2">
      <c r="A17" s="5" t="s">
        <v>48</v>
      </c>
      <c r="B17" s="5">
        <v>42907244.700000003</v>
      </c>
      <c r="C17" s="6"/>
      <c r="D17" s="7"/>
      <c r="E17" s="6">
        <f>2826815.11+9328598.18-25000</f>
        <v>12130413.289999999</v>
      </c>
      <c r="F17" s="6">
        <v>1690218.85</v>
      </c>
      <c r="G17" s="6">
        <f t="shared" si="4"/>
        <v>10440194.439999999</v>
      </c>
      <c r="H17" s="6"/>
      <c r="I17" s="6"/>
      <c r="J17" s="6">
        <f>2832736.29+530756.69+G17</f>
        <v>13803687.42</v>
      </c>
      <c r="K17" s="6">
        <v>2479965.2000000002</v>
      </c>
      <c r="L17" s="6">
        <f t="shared" si="5"/>
        <v>11323722.219999999</v>
      </c>
      <c r="M17" s="7">
        <f t="shared" si="6"/>
        <v>4170184.0500000003</v>
      </c>
      <c r="N17" s="6"/>
      <c r="O17" s="13"/>
      <c r="P17" s="6">
        <f>3347537.41+L17+2314576.13</f>
        <v>16985835.759999998</v>
      </c>
      <c r="Q17" s="6">
        <v>5158212.57</v>
      </c>
      <c r="R17" s="6">
        <f t="shared" si="7"/>
        <v>11827623.189999998</v>
      </c>
      <c r="S17" s="12"/>
      <c r="T17" s="12"/>
      <c r="U17" s="6">
        <f>3198949.63+R17+3298500</f>
        <v>18325072.819999997</v>
      </c>
      <c r="V17" s="6">
        <v>4555400.82</v>
      </c>
      <c r="W17" s="6">
        <f t="shared" si="17"/>
        <v>13769671.999999996</v>
      </c>
      <c r="X17" s="9">
        <f t="shared" si="8"/>
        <v>9713613.3900000006</v>
      </c>
      <c r="Y17" s="8"/>
      <c r="Z17" s="8"/>
      <c r="AA17" s="8"/>
      <c r="AB17" s="8">
        <f>3336596.07+W17+6937504.57</f>
        <v>24043772.639999997</v>
      </c>
      <c r="AC17" s="8">
        <v>3635403.13</v>
      </c>
      <c r="AD17" s="8">
        <f t="shared" si="9"/>
        <v>20408369.509999998</v>
      </c>
      <c r="AE17" s="10"/>
      <c r="AF17" s="10"/>
      <c r="AG17" s="8">
        <f>3647244.52+AD17</f>
        <v>24055614.029999997</v>
      </c>
      <c r="AH17" s="8">
        <v>2325892.04</v>
      </c>
      <c r="AI17" s="8">
        <f t="shared" si="3"/>
        <v>21729721.989999998</v>
      </c>
      <c r="AJ17" s="7">
        <f t="shared" si="10"/>
        <v>5961295.1699999999</v>
      </c>
      <c r="AK17" s="8"/>
      <c r="AL17" s="10"/>
      <c r="AM17" s="8"/>
      <c r="AN17" s="8">
        <f>3493679.49+AI17+1754363.63</f>
        <v>26977765.109999996</v>
      </c>
      <c r="AO17" s="8">
        <v>3948474.51</v>
      </c>
      <c r="AP17" s="8">
        <f t="shared" si="18"/>
        <v>23029290.599999994</v>
      </c>
      <c r="AQ17" s="10"/>
      <c r="AR17" s="10"/>
      <c r="AS17" s="8">
        <f>3559885.37+AP17-243646.27</f>
        <v>26345529.699999996</v>
      </c>
      <c r="AT17" s="8">
        <v>4123900.69</v>
      </c>
      <c r="AU17" s="8">
        <f t="shared" si="11"/>
        <v>22221629.009999994</v>
      </c>
      <c r="AV17" s="7">
        <f t="shared" si="12"/>
        <v>8072375.1999999993</v>
      </c>
      <c r="AW17" s="10"/>
      <c r="AX17" s="10"/>
      <c r="AY17" s="8"/>
      <c r="AZ17" s="8">
        <f>3612360.93+AU17+5182500</f>
        <v>31016489.939999994</v>
      </c>
      <c r="BA17" s="8">
        <v>3217015.74</v>
      </c>
      <c r="BB17" s="8">
        <f>AZ17-BA17</f>
        <v>27799474.199999996</v>
      </c>
      <c r="BC17" s="10"/>
      <c r="BD17" s="10"/>
      <c r="BE17" s="8">
        <f>3267043.43+BB17+246469.2</f>
        <v>31312986.829999994</v>
      </c>
      <c r="BF17" s="8">
        <v>2716476.5</v>
      </c>
      <c r="BG17" s="8">
        <f t="shared" si="14"/>
        <v>28596510.329999994</v>
      </c>
      <c r="BH17" s="7">
        <f t="shared" si="15"/>
        <v>5933492.2400000002</v>
      </c>
      <c r="BI17" s="10"/>
      <c r="BJ17" s="10"/>
      <c r="BK17" s="10"/>
      <c r="BL17" s="8">
        <f>3577992.23+BG17</f>
        <v>32174502.559999995</v>
      </c>
      <c r="BM17" s="8"/>
      <c r="BN17" s="10"/>
      <c r="BO17" s="10"/>
      <c r="BP17" s="10"/>
      <c r="BQ17" s="8">
        <v>6206404.2199999997</v>
      </c>
      <c r="BR17" s="8"/>
      <c r="BS17" s="10"/>
      <c r="BT17" s="9">
        <f t="shared" si="16"/>
        <v>72231866.829999998</v>
      </c>
      <c r="BU17" s="9"/>
      <c r="BV17" s="11"/>
      <c r="IM17" s="3"/>
      <c r="IN17" s="3"/>
      <c r="IO17" s="3"/>
      <c r="IP17" s="3"/>
      <c r="IQ17" s="3"/>
      <c r="IR17" s="3"/>
      <c r="IS17" s="3"/>
      <c r="IT17" s="3"/>
    </row>
    <row r="18" spans="1:254" s="2" customFormat="1" ht="12.75" customHeight="1" x14ac:dyDescent="0.2">
      <c r="A18" s="5" t="s">
        <v>40</v>
      </c>
      <c r="B18" s="5">
        <v>9970000</v>
      </c>
      <c r="C18" s="6"/>
      <c r="D18" s="7"/>
      <c r="E18" s="6">
        <f>656843.55+2171500-43000</f>
        <v>2785343.55</v>
      </c>
      <c r="F18" s="6">
        <v>857742.12</v>
      </c>
      <c r="G18" s="6">
        <f t="shared" si="4"/>
        <v>1927601.4299999997</v>
      </c>
      <c r="H18" s="6"/>
      <c r="I18" s="6"/>
      <c r="J18" s="6">
        <f>658219.4+47000+G18</f>
        <v>2632820.8299999996</v>
      </c>
      <c r="K18" s="6">
        <v>885262.17</v>
      </c>
      <c r="L18" s="6">
        <f t="shared" si="5"/>
        <v>1747558.6599999997</v>
      </c>
      <c r="M18" s="7">
        <f t="shared" si="6"/>
        <v>1743004.29</v>
      </c>
      <c r="N18" s="6"/>
      <c r="O18" s="13"/>
      <c r="P18" s="6">
        <f>777839.46+L18-190000</f>
        <v>2335398.1199999996</v>
      </c>
      <c r="Q18" s="6">
        <v>777901.76</v>
      </c>
      <c r="R18" s="6">
        <f t="shared" si="7"/>
        <v>1557496.3599999996</v>
      </c>
      <c r="S18" s="12"/>
      <c r="T18" s="12"/>
      <c r="U18" s="6">
        <f>743313.35+R18-43000</f>
        <v>2257809.7099999995</v>
      </c>
      <c r="V18" s="6">
        <v>817390.02</v>
      </c>
      <c r="W18" s="6">
        <f t="shared" si="17"/>
        <v>1440419.6899999995</v>
      </c>
      <c r="X18" s="9">
        <f t="shared" si="8"/>
        <v>1595291.78</v>
      </c>
      <c r="Y18" s="8">
        <f t="shared" si="0"/>
        <v>3338296.0700000003</v>
      </c>
      <c r="Z18" s="8"/>
      <c r="AA18" s="8"/>
      <c r="AB18" s="8">
        <f>775297.1+W18-443082.81</f>
        <v>1772633.9799999995</v>
      </c>
      <c r="AC18" s="8">
        <v>824462.69</v>
      </c>
      <c r="AD18" s="8">
        <f t="shared" si="9"/>
        <v>948171.28999999957</v>
      </c>
      <c r="AE18" s="10"/>
      <c r="AF18" s="10"/>
      <c r="AG18" s="8">
        <f>847479.9+AD18-186389.22</f>
        <v>1609261.9699999995</v>
      </c>
      <c r="AH18" s="8">
        <v>768402.97</v>
      </c>
      <c r="AI18" s="8">
        <f t="shared" si="3"/>
        <v>840858.99999999953</v>
      </c>
      <c r="AJ18" s="7">
        <f t="shared" si="10"/>
        <v>1592865.66</v>
      </c>
      <c r="AK18" s="8">
        <f t="shared" si="1"/>
        <v>4931161.7300000004</v>
      </c>
      <c r="AL18" s="10"/>
      <c r="AM18" s="8"/>
      <c r="AN18" s="8">
        <f>811797.27+AI18-218050</f>
        <v>1434606.2699999996</v>
      </c>
      <c r="AO18" s="8">
        <v>752985.97</v>
      </c>
      <c r="AP18" s="8">
        <f t="shared" si="18"/>
        <v>681620.29999999958</v>
      </c>
      <c r="AQ18" s="10"/>
      <c r="AR18" s="10"/>
      <c r="AS18" s="8">
        <f>827181+AP18+6400</f>
        <v>1515201.2999999996</v>
      </c>
      <c r="AT18" s="8">
        <v>822340.41</v>
      </c>
      <c r="AU18" s="8">
        <f t="shared" si="11"/>
        <v>692860.88999999955</v>
      </c>
      <c r="AV18" s="7">
        <f t="shared" si="12"/>
        <v>1575326.38</v>
      </c>
      <c r="AW18" s="10">
        <f t="shared" si="2"/>
        <v>6506488.1100000003</v>
      </c>
      <c r="AX18" s="10"/>
      <c r="AY18" s="8"/>
      <c r="AZ18" s="8">
        <f>839374.3+AU18-528610</f>
        <v>1003625.1899999995</v>
      </c>
      <c r="BA18" s="8">
        <v>793411.72</v>
      </c>
      <c r="BB18" s="8">
        <f t="shared" si="13"/>
        <v>210213.46999999951</v>
      </c>
      <c r="BC18" s="10"/>
      <c r="BD18" s="10"/>
      <c r="BE18" s="8">
        <f>759135.74+BB18-41800</f>
        <v>927549.2099999995</v>
      </c>
      <c r="BF18" s="8">
        <v>824182.04</v>
      </c>
      <c r="BG18" s="8">
        <f t="shared" si="14"/>
        <v>103367.16999999946</v>
      </c>
      <c r="BH18" s="7">
        <f t="shared" si="15"/>
        <v>1617593.76</v>
      </c>
      <c r="BI18" s="10"/>
      <c r="BJ18" s="10"/>
      <c r="BK18" s="10"/>
      <c r="BL18" s="8">
        <f>831388.33+BG18</f>
        <v>934755.49999999942</v>
      </c>
      <c r="BM18" s="8"/>
      <c r="BN18" s="10"/>
      <c r="BO18" s="10"/>
      <c r="BP18" s="10"/>
      <c r="BQ18" s="8">
        <v>1442130.6</v>
      </c>
      <c r="BR18" s="8"/>
      <c r="BS18" s="10"/>
      <c r="BT18" s="9">
        <f t="shared" si="16"/>
        <v>10500967.969999999</v>
      </c>
      <c r="BU18" s="9">
        <f>F18+K18+Q18+V18+AC18+AH18+AO18+AT18+BA18+BF18+BM18+BR18</f>
        <v>8124081.8699999992</v>
      </c>
      <c r="BV18" s="11">
        <f>BT18-BU18</f>
        <v>2376886.0999999996</v>
      </c>
      <c r="IM18" s="3"/>
      <c r="IN18" s="3"/>
      <c r="IO18" s="3"/>
      <c r="IP18" s="3"/>
      <c r="IQ18" s="3"/>
      <c r="IR18" s="3"/>
      <c r="IS18" s="3"/>
      <c r="IT18" s="3"/>
    </row>
    <row r="19" spans="1:254" s="2" customFormat="1" ht="12.75" customHeight="1" x14ac:dyDescent="0.2">
      <c r="A19" s="5" t="s">
        <v>49</v>
      </c>
      <c r="B19" s="5">
        <v>18670840</v>
      </c>
      <c r="C19" s="6"/>
      <c r="D19" s="7"/>
      <c r="E19" s="6">
        <f>1230072.29+119785.24-60785.24+700000</f>
        <v>1989072.29</v>
      </c>
      <c r="F19" s="6">
        <v>1939511.83</v>
      </c>
      <c r="G19" s="6">
        <f t="shared" si="4"/>
        <v>49560.459999999963</v>
      </c>
      <c r="H19" s="6"/>
      <c r="I19" s="6"/>
      <c r="J19" s="6">
        <f>1232648.86+G19+1400000</f>
        <v>2682209.3200000003</v>
      </c>
      <c r="K19" s="6">
        <v>2665548.81</v>
      </c>
      <c r="L19" s="6">
        <f t="shared" si="5"/>
        <v>16660.510000000242</v>
      </c>
      <c r="M19" s="7">
        <f t="shared" si="6"/>
        <v>4605060.6400000006</v>
      </c>
      <c r="N19" s="6"/>
      <c r="O19" s="13"/>
      <c r="P19" s="6">
        <f>1456661.59+L19+500000</f>
        <v>1973322.1000000003</v>
      </c>
      <c r="Q19" s="6">
        <v>1919732.95</v>
      </c>
      <c r="R19" s="6">
        <f t="shared" si="7"/>
        <v>53589.150000000373</v>
      </c>
      <c r="S19" s="6"/>
      <c r="T19" s="12"/>
      <c r="U19" s="6">
        <f>1392004.48+R19-88000+700000</f>
        <v>2057593.6300000004</v>
      </c>
      <c r="V19" s="6">
        <v>2052394</v>
      </c>
      <c r="W19" s="6">
        <f t="shared" si="17"/>
        <v>5199.6300000003539</v>
      </c>
      <c r="X19" s="9">
        <f t="shared" si="8"/>
        <v>3972126.95</v>
      </c>
      <c r="Y19" s="8">
        <f t="shared" si="0"/>
        <v>8577187.5899999999</v>
      </c>
      <c r="Z19" s="8"/>
      <c r="AA19" s="8"/>
      <c r="AB19" s="8">
        <f>1451900.53+W19+1163373.89</f>
        <v>2620474.0500000003</v>
      </c>
      <c r="AC19" s="8">
        <v>1972491.31</v>
      </c>
      <c r="AD19" s="8">
        <f t="shared" si="9"/>
        <v>647982.74000000022</v>
      </c>
      <c r="AE19" s="8"/>
      <c r="AF19" s="10"/>
      <c r="AG19" s="8">
        <f>1587077.41+AD19</f>
        <v>2235060.1500000004</v>
      </c>
      <c r="AH19" s="8">
        <v>1940621.2</v>
      </c>
      <c r="AI19" s="8">
        <f t="shared" si="3"/>
        <v>294438.95000000042</v>
      </c>
      <c r="AJ19" s="7">
        <f t="shared" si="10"/>
        <v>3913112.51</v>
      </c>
      <c r="AK19" s="8">
        <f t="shared" si="1"/>
        <v>12490300.1</v>
      </c>
      <c r="AL19" s="8"/>
      <c r="AM19" s="8"/>
      <c r="AN19" s="8">
        <f>1520254.48+AI19+397604</f>
        <v>2212297.4300000006</v>
      </c>
      <c r="AO19" s="8">
        <v>2040361.86</v>
      </c>
      <c r="AP19" s="8">
        <f t="shared" si="18"/>
        <v>171935.57000000053</v>
      </c>
      <c r="AQ19" s="8"/>
      <c r="AR19" s="8"/>
      <c r="AS19" s="8">
        <f>1549063.57+AP19+6986157.23</f>
        <v>8707156.370000001</v>
      </c>
      <c r="AT19" s="8">
        <v>2041922.1</v>
      </c>
      <c r="AU19" s="8">
        <f t="shared" si="11"/>
        <v>6665234.2700000014</v>
      </c>
      <c r="AV19" s="7">
        <f t="shared" si="12"/>
        <v>4082283.96</v>
      </c>
      <c r="AW19" s="10">
        <f t="shared" si="2"/>
        <v>16572584.059999999</v>
      </c>
      <c r="AX19" s="8"/>
      <c r="AY19" s="8"/>
      <c r="AZ19" s="8">
        <f>1571898.02-400000+AU19+1598550</f>
        <v>9435682.290000001</v>
      </c>
      <c r="BA19" s="8">
        <v>2039839.69</v>
      </c>
      <c r="BB19" s="8">
        <f t="shared" si="13"/>
        <v>7395842.6000000015</v>
      </c>
      <c r="BC19" s="8"/>
      <c r="BD19" s="8"/>
      <c r="BE19" s="8">
        <f>1421635.1-300000+BB19+71636</f>
        <v>8589113.7000000011</v>
      </c>
      <c r="BF19" s="8">
        <v>1980182.32</v>
      </c>
      <c r="BG19" s="8">
        <f t="shared" si="14"/>
        <v>6608931.3800000008</v>
      </c>
      <c r="BH19" s="7">
        <f t="shared" si="15"/>
        <v>4020022.01</v>
      </c>
      <c r="BI19" s="10"/>
      <c r="BJ19" s="8"/>
      <c r="BK19" s="8"/>
      <c r="BL19" s="8">
        <f>1556942.68-500000+BG19</f>
        <v>7665874.0600000005</v>
      </c>
      <c r="BM19" s="8"/>
      <c r="BN19" s="8"/>
      <c r="BO19" s="8"/>
      <c r="BP19" s="8"/>
      <c r="BQ19" s="8">
        <f>2700680.99-700000-1400000</f>
        <v>600680.99000000022</v>
      </c>
      <c r="BR19" s="8"/>
      <c r="BS19" s="10"/>
      <c r="BT19" s="9">
        <f t="shared" si="16"/>
        <v>28859161.120000005</v>
      </c>
      <c r="BU19" s="9">
        <f>F19+K19+Q19+V19+AC19+AH19+AO19+AT19+BA19+BF19+BM19+BR19</f>
        <v>20592606.07</v>
      </c>
      <c r="BV19" s="11">
        <f>BT19-BU19</f>
        <v>8266555.0500000045</v>
      </c>
      <c r="IM19" s="3"/>
      <c r="IN19" s="3"/>
      <c r="IO19" s="3"/>
      <c r="IP19" s="3"/>
      <c r="IQ19" s="3"/>
      <c r="IR19" s="3"/>
      <c r="IS19" s="3"/>
      <c r="IT19" s="3"/>
    </row>
    <row r="20" spans="1:254" s="2" customFormat="1" ht="12.75" customHeight="1" x14ac:dyDescent="0.2">
      <c r="A20" s="5" t="s">
        <v>50</v>
      </c>
      <c r="B20" s="5">
        <v>10000000</v>
      </c>
      <c r="C20" s="6">
        <v>740000</v>
      </c>
      <c r="D20" s="6">
        <v>719728.68</v>
      </c>
      <c r="E20" s="6"/>
      <c r="F20" s="6"/>
      <c r="G20" s="6">
        <f>C20-D20</f>
        <v>20271.319999999949</v>
      </c>
      <c r="H20" s="6">
        <f>740000+G20</f>
        <v>760271.32</v>
      </c>
      <c r="I20" s="6">
        <v>719728.68</v>
      </c>
      <c r="J20" s="6"/>
      <c r="K20" s="6"/>
      <c r="L20" s="6">
        <f>H20-I20</f>
        <v>40542.639999999898</v>
      </c>
      <c r="M20" s="7">
        <f>SUM(D20+I20)</f>
        <v>1439457.36</v>
      </c>
      <c r="N20" s="6">
        <f>770000+L20</f>
        <v>810542.6399999999</v>
      </c>
      <c r="O20" s="6">
        <v>719728.68</v>
      </c>
      <c r="P20" s="6"/>
      <c r="Q20" s="6"/>
      <c r="R20" s="6">
        <f>N20-O20</f>
        <v>90813.959999999846</v>
      </c>
      <c r="S20" s="6">
        <f>770000+R20</f>
        <v>860813.95999999985</v>
      </c>
      <c r="T20" s="6">
        <v>717935.21</v>
      </c>
      <c r="U20" s="6"/>
      <c r="V20" s="6"/>
      <c r="W20" s="6">
        <f>S20-T20</f>
        <v>142878.74999999988</v>
      </c>
      <c r="X20" s="7">
        <f>SUM(O20+T20)</f>
        <v>1437663.8900000001</v>
      </c>
      <c r="Y20" s="8">
        <f t="shared" si="0"/>
        <v>2877121.25</v>
      </c>
      <c r="Z20" s="8">
        <f>770000+W20</f>
        <v>912878.74999999988</v>
      </c>
      <c r="AA20" s="8">
        <v>750886.45</v>
      </c>
      <c r="AB20" s="8"/>
      <c r="AC20" s="8"/>
      <c r="AD20" s="8">
        <f>Z20-AA20</f>
        <v>161992.29999999993</v>
      </c>
      <c r="AE20" s="8">
        <f>770000+AD20</f>
        <v>931992.29999999993</v>
      </c>
      <c r="AF20" s="8">
        <v>737165.32</v>
      </c>
      <c r="AG20" s="8"/>
      <c r="AH20" s="8"/>
      <c r="AI20" s="8">
        <f>AE20-AF20</f>
        <v>194826.97999999998</v>
      </c>
      <c r="AJ20" s="7">
        <f>SUM(AA20+AF20)</f>
        <v>1488051.77</v>
      </c>
      <c r="AK20" s="8">
        <f t="shared" si="1"/>
        <v>4365173.0199999996</v>
      </c>
      <c r="AL20" s="8">
        <f>770000+AI20</f>
        <v>964826.98</v>
      </c>
      <c r="AM20" s="8">
        <v>733767.41</v>
      </c>
      <c r="AN20" s="8"/>
      <c r="AO20" s="8"/>
      <c r="AP20" s="8">
        <f>AL20-AM20</f>
        <v>231059.56999999995</v>
      </c>
      <c r="AQ20" s="8">
        <f>770000+AP20</f>
        <v>1001059.57</v>
      </c>
      <c r="AR20" s="8">
        <v>731423.59</v>
      </c>
      <c r="AS20" s="8"/>
      <c r="AT20" s="8"/>
      <c r="AU20" s="8">
        <f>AQ20-AR20</f>
        <v>269635.98</v>
      </c>
      <c r="AV20" s="7">
        <f>AM20+AR20</f>
        <v>1465191</v>
      </c>
      <c r="AW20" s="10">
        <f t="shared" si="2"/>
        <v>5830364.0199999996</v>
      </c>
      <c r="AX20" s="8">
        <f>770000+AU20</f>
        <v>1039635.98</v>
      </c>
      <c r="AY20" s="8">
        <v>736879.44</v>
      </c>
      <c r="AZ20" s="8"/>
      <c r="BA20" s="8"/>
      <c r="BB20" s="8">
        <f>AX20-AY20</f>
        <v>302756.54000000004</v>
      </c>
      <c r="BC20" s="8">
        <f>770000+BB20</f>
        <v>1072756.54</v>
      </c>
      <c r="BD20" s="8">
        <v>733834.75</v>
      </c>
      <c r="BE20" s="8"/>
      <c r="BF20" s="8"/>
      <c r="BG20" s="8">
        <f>BC20-BD20</f>
        <v>338921.79000000004</v>
      </c>
      <c r="BH20" s="7">
        <f>SUM(AY20+BD20)</f>
        <v>1470714.19</v>
      </c>
      <c r="BI20" s="10"/>
      <c r="BJ20" s="8">
        <f>770000+BG20</f>
        <v>1108921.79</v>
      </c>
      <c r="BK20" s="10"/>
      <c r="BL20" s="8"/>
      <c r="BM20" s="8"/>
      <c r="BN20" s="10"/>
      <c r="BO20" s="8">
        <v>1590000</v>
      </c>
      <c r="BP20" s="10"/>
      <c r="BQ20" s="8"/>
      <c r="BR20" s="8"/>
      <c r="BS20" s="10"/>
      <c r="BT20" s="9">
        <f t="shared" ref="BT20:BT21" si="19">M20+X20+AJ20+AV20+BH20+BJ20+BO20</f>
        <v>10000000</v>
      </c>
      <c r="BU20" s="9">
        <f>F20+K20+Q20+V20+AC20+AH20+AO20+AT20+BA20+BF20+BM20+BR20</f>
        <v>0</v>
      </c>
      <c r="BV20" s="11">
        <f>BT20-BU20</f>
        <v>10000000</v>
      </c>
      <c r="IM20" s="3"/>
      <c r="IN20" s="3"/>
      <c r="IO20" s="3"/>
      <c r="IP20" s="3"/>
      <c r="IQ20" s="3"/>
      <c r="IR20" s="3"/>
      <c r="IS20" s="3"/>
      <c r="IT20" s="3"/>
    </row>
    <row r="21" spans="1:254" s="2" customFormat="1" ht="12.75" customHeight="1" x14ac:dyDescent="0.2">
      <c r="A21" s="5" t="s">
        <v>51</v>
      </c>
      <c r="B21" s="5">
        <v>3474000</v>
      </c>
      <c r="C21" s="6">
        <v>289500</v>
      </c>
      <c r="D21" s="6">
        <v>282399.06</v>
      </c>
      <c r="E21" s="6"/>
      <c r="F21" s="6"/>
      <c r="G21" s="6">
        <f>C21-D21</f>
        <v>7100.9400000000023</v>
      </c>
      <c r="H21" s="6">
        <f>289500+G21</f>
        <v>296600.94</v>
      </c>
      <c r="I21" s="6">
        <v>288117.75</v>
      </c>
      <c r="J21" s="6"/>
      <c r="K21" s="6"/>
      <c r="L21" s="6">
        <f>H21-I21</f>
        <v>8483.1900000000023</v>
      </c>
      <c r="M21" s="7">
        <f>SUM(D21+I21)</f>
        <v>570516.81000000006</v>
      </c>
      <c r="N21" s="6">
        <f>289500+L21</f>
        <v>297983.19</v>
      </c>
      <c r="O21" s="7">
        <v>287336.56</v>
      </c>
      <c r="P21" s="6"/>
      <c r="Q21" s="6"/>
      <c r="R21" s="6">
        <f>N21-O21</f>
        <v>10646.630000000005</v>
      </c>
      <c r="S21" s="6">
        <f>289500+R21</f>
        <v>300146.63</v>
      </c>
      <c r="T21" s="6">
        <v>287986.71000000002</v>
      </c>
      <c r="U21" s="6"/>
      <c r="V21" s="6"/>
      <c r="W21" s="6">
        <f>S21-T21</f>
        <v>12159.919999999984</v>
      </c>
      <c r="X21" s="7">
        <f>SUM(O21+T21)</f>
        <v>575323.27</v>
      </c>
      <c r="Y21" s="8">
        <f t="shared" si="0"/>
        <v>1145840.08</v>
      </c>
      <c r="Z21" s="8">
        <f>289500+W21</f>
        <v>301659.92</v>
      </c>
      <c r="AA21" s="8">
        <v>284224.86</v>
      </c>
      <c r="AB21" s="8"/>
      <c r="AC21" s="8"/>
      <c r="AD21" s="8">
        <f>Z21-AA21</f>
        <v>17435.059999999998</v>
      </c>
      <c r="AE21" s="8">
        <f>289500+AD21</f>
        <v>306935.06</v>
      </c>
      <c r="AF21" s="8">
        <v>283772.12</v>
      </c>
      <c r="AG21" s="8"/>
      <c r="AH21" s="8"/>
      <c r="AI21" s="8">
        <f>AE21-AF21</f>
        <v>23162.940000000002</v>
      </c>
      <c r="AJ21" s="7">
        <f>SUM(AA21+AF21)</f>
        <v>567996.98</v>
      </c>
      <c r="AK21" s="8">
        <f t="shared" si="1"/>
        <v>1713837.06</v>
      </c>
      <c r="AL21" s="8">
        <f>289500+AI21</f>
        <v>312662.94</v>
      </c>
      <c r="AM21" s="8">
        <v>284447.09000000003</v>
      </c>
      <c r="AN21" s="8"/>
      <c r="AO21" s="8"/>
      <c r="AP21" s="8">
        <f>AL21-AM21</f>
        <v>28215.849999999977</v>
      </c>
      <c r="AQ21" s="8">
        <f>289500+AP21</f>
        <v>317715.84999999998</v>
      </c>
      <c r="AR21" s="8">
        <v>303667.46000000002</v>
      </c>
      <c r="AS21" s="8"/>
      <c r="AT21" s="8"/>
      <c r="AU21" s="8">
        <f>AQ21-AR21</f>
        <v>14048.389999999956</v>
      </c>
      <c r="AV21" s="7">
        <f>AM21+AR21</f>
        <v>588114.55000000005</v>
      </c>
      <c r="AW21" s="10">
        <f t="shared" si="2"/>
        <v>2301951.6100000003</v>
      </c>
      <c r="AX21" s="8">
        <f>289500+AU21-40000</f>
        <v>263548.38999999996</v>
      </c>
      <c r="AY21" s="8">
        <v>151824.28</v>
      </c>
      <c r="AZ21" s="8"/>
      <c r="BA21" s="8"/>
      <c r="BB21" s="8">
        <f>AX21-AY21</f>
        <v>111724.10999999996</v>
      </c>
      <c r="BC21" s="8">
        <f>289500+BB21-400000+11000</f>
        <v>12224.109999999986</v>
      </c>
      <c r="BD21" s="8">
        <v>11280.22</v>
      </c>
      <c r="BE21" s="8"/>
      <c r="BF21" s="8"/>
      <c r="BG21" s="8">
        <f>BC21-BD21</f>
        <v>943.88999999998668</v>
      </c>
      <c r="BH21" s="7">
        <f>SUM(AY21+BD21)</f>
        <v>163104.5</v>
      </c>
      <c r="BI21" s="10"/>
      <c r="BJ21" s="8">
        <f>289500-270000+BG21-20000</f>
        <v>443.88999999998487</v>
      </c>
      <c r="BK21" s="8"/>
      <c r="BL21" s="8"/>
      <c r="BM21" s="8"/>
      <c r="BN21" s="8"/>
      <c r="BO21" s="8">
        <f>289500-270000-10000-1000</f>
        <v>8500</v>
      </c>
      <c r="BP21" s="8"/>
      <c r="BQ21" s="8"/>
      <c r="BR21" s="8"/>
      <c r="BS21" s="8"/>
      <c r="BT21" s="9">
        <f t="shared" si="19"/>
        <v>2474000.0000000005</v>
      </c>
      <c r="BU21" s="9"/>
      <c r="BV21" s="9"/>
      <c r="IM21" s="3"/>
      <c r="IN21" s="3"/>
      <c r="IO21" s="3"/>
      <c r="IP21" s="3"/>
      <c r="IQ21" s="3"/>
      <c r="IR21" s="3"/>
      <c r="IS21" s="3"/>
      <c r="IT21" s="3"/>
    </row>
    <row r="22" spans="1:254" s="2" customFormat="1" ht="12.75" customHeight="1" x14ac:dyDescent="0.2">
      <c r="A22" s="5" t="s">
        <v>52</v>
      </c>
      <c r="B22" s="5">
        <v>94841200</v>
      </c>
      <c r="C22" s="6"/>
      <c r="D22" s="7"/>
      <c r="E22" s="6">
        <f>6248327.92+981320.92+850000</f>
        <v>8079648.8399999999</v>
      </c>
      <c r="F22" s="6">
        <v>8075597.2800000003</v>
      </c>
      <c r="G22" s="6">
        <f t="shared" si="4"/>
        <v>4051.5599999995902</v>
      </c>
      <c r="H22" s="6"/>
      <c r="I22" s="6"/>
      <c r="J22" s="6">
        <f>6261416.03+274954.15+G22+3000000</f>
        <v>9540421.7400000002</v>
      </c>
      <c r="K22" s="6">
        <v>9229426.4299999997</v>
      </c>
      <c r="L22" s="6">
        <f t="shared" si="5"/>
        <v>310995.31000000052</v>
      </c>
      <c r="M22" s="7">
        <f t="shared" ref="M22" si="20">F22+K22</f>
        <v>17305023.710000001</v>
      </c>
      <c r="N22" s="6"/>
      <c r="O22" s="13"/>
      <c r="P22" s="6">
        <f>7399320.74+L22-241664.04</f>
        <v>7468652.0100000007</v>
      </c>
      <c r="Q22" s="6">
        <v>6803086.2800000003</v>
      </c>
      <c r="R22" s="6">
        <f t="shared" si="7"/>
        <v>665565.73000000045</v>
      </c>
      <c r="S22" s="12"/>
      <c r="T22" s="12"/>
      <c r="U22" s="6">
        <f>7070885.66+R22-250000+30000</f>
        <v>7516451.3900000006</v>
      </c>
      <c r="V22" s="6">
        <v>7508986.1900000004</v>
      </c>
      <c r="W22" s="6">
        <f t="shared" si="17"/>
        <v>7465.2000000001863</v>
      </c>
      <c r="X22" s="9">
        <f>Q22+V22</f>
        <v>14312072.470000001</v>
      </c>
      <c r="Y22" s="8">
        <f t="shared" si="0"/>
        <v>31617096.18</v>
      </c>
      <c r="Z22" s="8"/>
      <c r="AA22" s="8"/>
      <c r="AB22" s="8">
        <f>7375136.24+W22-390100+500000</f>
        <v>7492501.4400000004</v>
      </c>
      <c r="AC22" s="8">
        <v>7461906.21</v>
      </c>
      <c r="AD22" s="8">
        <f t="shared" si="9"/>
        <v>30595.230000000447</v>
      </c>
      <c r="AE22" s="10"/>
      <c r="AF22" s="10"/>
      <c r="AG22" s="8">
        <f>8061786.53+AD22+110000+661547.77</f>
        <v>8863929.5300000012</v>
      </c>
      <c r="AH22" s="8">
        <v>8199387.2000000002</v>
      </c>
      <c r="AI22" s="8">
        <f t="shared" si="3"/>
        <v>664542.33000000101</v>
      </c>
      <c r="AJ22" s="7">
        <f t="shared" ref="AJ22" si="21">AC22+AH22</f>
        <v>15661293.41</v>
      </c>
      <c r="AK22" s="8">
        <f t="shared" si="1"/>
        <v>47278389.590000004</v>
      </c>
      <c r="AL22" s="10"/>
      <c r="AM22" s="8"/>
      <c r="AN22" s="8">
        <f>7722349.87+AI22</f>
        <v>8386892.2000000011</v>
      </c>
      <c r="AO22" s="8">
        <v>7066966.75</v>
      </c>
      <c r="AP22" s="8">
        <f t="shared" si="18"/>
        <v>1319925.4500000011</v>
      </c>
      <c r="AQ22" s="10"/>
      <c r="AR22" s="10"/>
      <c r="AS22" s="8">
        <f>7868689.84+AP22-5415.73+301000</f>
        <v>9484199.5600000005</v>
      </c>
      <c r="AT22" s="8">
        <v>9483974.0500000007</v>
      </c>
      <c r="AU22" s="8">
        <f t="shared" si="11"/>
        <v>225.50999999977648</v>
      </c>
      <c r="AV22" s="7">
        <f t="shared" si="12"/>
        <v>16550940.800000001</v>
      </c>
      <c r="AW22" s="10">
        <f t="shared" si="2"/>
        <v>63829330.390000001</v>
      </c>
      <c r="AX22" s="10"/>
      <c r="AY22" s="8"/>
      <c r="AZ22" s="8">
        <f>7984680.63+AU22+155084</f>
        <v>8139990.1399999997</v>
      </c>
      <c r="BA22" s="8">
        <v>6902464.7800000003</v>
      </c>
      <c r="BB22" s="8">
        <f t="shared" si="13"/>
        <v>1237525.3599999994</v>
      </c>
      <c r="BC22" s="10"/>
      <c r="BD22" s="10"/>
      <c r="BE22" s="8">
        <f>7221398.65+BB22+86060.94</f>
        <v>8544984.9499999993</v>
      </c>
      <c r="BF22" s="8">
        <v>6816202.1100000003</v>
      </c>
      <c r="BG22" s="8">
        <f t="shared" si="14"/>
        <v>1728782.8399999989</v>
      </c>
      <c r="BH22" s="7">
        <f t="shared" ref="BH22" si="22">BA22+BF22</f>
        <v>13718666.890000001</v>
      </c>
      <c r="BI22" s="10"/>
      <c r="BJ22" s="10"/>
      <c r="BK22" s="10"/>
      <c r="BL22" s="8">
        <f>7908712.83+BG22</f>
        <v>9637495.6699999981</v>
      </c>
      <c r="BM22" s="8"/>
      <c r="BN22" s="10"/>
      <c r="BO22" s="10"/>
      <c r="BP22" s="10"/>
      <c r="BQ22" s="8">
        <f>13718495.06-850000-3000000-30000-610000-301000</f>
        <v>8927495.0600000005</v>
      </c>
      <c r="BR22" s="8"/>
      <c r="BS22" s="10"/>
      <c r="BT22" s="9">
        <f t="shared" si="16"/>
        <v>96112988.010000005</v>
      </c>
      <c r="BU22" s="9">
        <f>F22+K22+Q22+V22+AC22+AH22+AO22+AT22+BA22+BF22+BM22+BR22</f>
        <v>77547997.280000001</v>
      </c>
      <c r="BV22" s="11">
        <f>BT22-BU22</f>
        <v>18564990.730000004</v>
      </c>
      <c r="IM22" s="3"/>
      <c r="IN22" s="3"/>
      <c r="IO22" s="3"/>
      <c r="IP22" s="3"/>
      <c r="IQ22" s="3"/>
      <c r="IR22" s="3"/>
      <c r="IS22" s="3"/>
      <c r="IT22" s="3"/>
    </row>
    <row r="23" spans="1:254" s="16" customFormat="1" ht="12.75" customHeight="1" x14ac:dyDescent="0.2">
      <c r="A23" s="14" t="s">
        <v>20</v>
      </c>
      <c r="B23" s="15">
        <f t="shared" ref="B23:AG23" si="23">SUM(B5:B22)</f>
        <v>612800000</v>
      </c>
      <c r="C23" s="9">
        <f t="shared" si="23"/>
        <v>4086500</v>
      </c>
      <c r="D23" s="9">
        <f t="shared" si="23"/>
        <v>3900763.1100000003</v>
      </c>
      <c r="E23" s="9">
        <f t="shared" si="23"/>
        <v>69757533.709999993</v>
      </c>
      <c r="F23" s="9">
        <f t="shared" si="23"/>
        <v>36784425.020000003</v>
      </c>
      <c r="G23" s="9">
        <f t="shared" si="23"/>
        <v>33158845.579999998</v>
      </c>
      <c r="H23" s="9">
        <f t="shared" si="23"/>
        <v>4072236.8899999997</v>
      </c>
      <c r="I23" s="9">
        <f t="shared" si="23"/>
        <v>3994788.1100000003</v>
      </c>
      <c r="J23" s="9">
        <f t="shared" si="23"/>
        <v>78524112.100000009</v>
      </c>
      <c r="K23" s="9">
        <f t="shared" si="23"/>
        <v>39780450.579999998</v>
      </c>
      <c r="L23" s="9">
        <f t="shared" si="23"/>
        <v>38821110.29999999</v>
      </c>
      <c r="M23" s="9">
        <f t="shared" si="23"/>
        <v>84460426.819999993</v>
      </c>
      <c r="N23" s="9">
        <f t="shared" si="23"/>
        <v>3998948.78</v>
      </c>
      <c r="O23" s="9">
        <f t="shared" si="23"/>
        <v>3877819.2100000004</v>
      </c>
      <c r="P23" s="9">
        <f t="shared" si="23"/>
        <v>90841369.040000007</v>
      </c>
      <c r="Q23" s="9">
        <f t="shared" si="23"/>
        <v>43401650.470000006</v>
      </c>
      <c r="R23" s="9">
        <f t="shared" si="23"/>
        <v>47560848.140000001</v>
      </c>
      <c r="S23" s="9">
        <f t="shared" si="23"/>
        <v>4042629.5699999994</v>
      </c>
      <c r="T23" s="9">
        <f t="shared" si="23"/>
        <v>3868580.4699999997</v>
      </c>
      <c r="U23" s="9">
        <f t="shared" si="23"/>
        <v>98438227.649999991</v>
      </c>
      <c r="V23" s="9">
        <f t="shared" si="23"/>
        <v>44703579.890000001</v>
      </c>
      <c r="W23" s="9">
        <f t="shared" si="23"/>
        <v>53908696.860000007</v>
      </c>
      <c r="X23" s="9">
        <f t="shared" si="23"/>
        <v>95851630.040000007</v>
      </c>
      <c r="Y23" s="9">
        <f t="shared" si="23"/>
        <v>122586260.10999998</v>
      </c>
      <c r="Z23" s="9">
        <f t="shared" si="23"/>
        <v>3495549.0999999996</v>
      </c>
      <c r="AA23" s="9">
        <f t="shared" si="23"/>
        <v>3306352.0100000002</v>
      </c>
      <c r="AB23" s="9">
        <f t="shared" si="23"/>
        <v>108100598.41000001</v>
      </c>
      <c r="AC23" s="9">
        <f t="shared" si="23"/>
        <v>44394547.469999999</v>
      </c>
      <c r="AD23" s="9">
        <f t="shared" si="23"/>
        <v>63895248.030000001</v>
      </c>
      <c r="AE23" s="9">
        <f t="shared" si="23"/>
        <v>3510697.0899999994</v>
      </c>
      <c r="AF23" s="9">
        <f t="shared" si="23"/>
        <v>3238323.73</v>
      </c>
      <c r="AG23" s="9">
        <f t="shared" si="23"/>
        <v>115535637.94000003</v>
      </c>
      <c r="AH23" s="9">
        <f t="shared" ref="AH23:BM23" si="24">SUM(AH5:AH22)</f>
        <v>42582851.090000004</v>
      </c>
      <c r="AI23" s="9">
        <f t="shared" si="24"/>
        <v>73225160.210000008</v>
      </c>
      <c r="AJ23" s="9">
        <f t="shared" si="24"/>
        <v>93522074.299999997</v>
      </c>
      <c r="AK23" s="9">
        <f t="shared" si="24"/>
        <v>187731773.33000001</v>
      </c>
      <c r="AL23" s="9">
        <f t="shared" si="24"/>
        <v>3193873.3599999994</v>
      </c>
      <c r="AM23" s="9">
        <f t="shared" si="24"/>
        <v>2893178.37</v>
      </c>
      <c r="AN23" s="9">
        <f t="shared" si="24"/>
        <v>123445940.64999999</v>
      </c>
      <c r="AO23" s="9">
        <f t="shared" si="24"/>
        <v>44544982.709999993</v>
      </c>
      <c r="AP23" s="9">
        <f t="shared" si="24"/>
        <v>79201652.929999977</v>
      </c>
      <c r="AQ23" s="9">
        <f t="shared" si="24"/>
        <v>3222194.9899999993</v>
      </c>
      <c r="AR23" s="9">
        <f t="shared" si="24"/>
        <v>2881416.51</v>
      </c>
      <c r="AS23" s="9">
        <f t="shared" si="24"/>
        <v>135632479.19999999</v>
      </c>
      <c r="AT23" s="9">
        <f t="shared" si="24"/>
        <v>46720429.049999997</v>
      </c>
      <c r="AU23" s="9">
        <f t="shared" si="24"/>
        <v>89252828.629999995</v>
      </c>
      <c r="AV23" s="9">
        <f t="shared" si="24"/>
        <v>97040006.639999986</v>
      </c>
      <c r="AW23" s="9">
        <f t="shared" si="24"/>
        <v>253047853.48000002</v>
      </c>
      <c r="AX23" s="9">
        <f t="shared" si="24"/>
        <v>3222278.4799999995</v>
      </c>
      <c r="AY23" s="9">
        <f t="shared" si="24"/>
        <v>2312592.98</v>
      </c>
      <c r="AZ23" s="9">
        <f t="shared" si="24"/>
        <v>145788899.28999999</v>
      </c>
      <c r="BA23" s="9">
        <f t="shared" ref="BA23" si="25">SUM(BA5:BA22)</f>
        <v>42479912.439999998</v>
      </c>
      <c r="BB23" s="9">
        <f t="shared" si="24"/>
        <v>104218672.35000001</v>
      </c>
      <c r="BC23" s="9">
        <f t="shared" si="24"/>
        <v>3442185.5</v>
      </c>
      <c r="BD23" s="9">
        <f t="shared" si="24"/>
        <v>2635198.9200000004</v>
      </c>
      <c r="BE23" s="9">
        <f t="shared" si="24"/>
        <v>149297734.28999999</v>
      </c>
      <c r="BF23" s="9">
        <f t="shared" si="24"/>
        <v>42948896.899999999</v>
      </c>
      <c r="BG23" s="9">
        <f t="shared" si="24"/>
        <v>107155823.97000003</v>
      </c>
      <c r="BH23" s="9">
        <f t="shared" si="24"/>
        <v>90376601.24000001</v>
      </c>
      <c r="BI23" s="9">
        <f t="shared" si="24"/>
        <v>0</v>
      </c>
      <c r="BJ23" s="9">
        <f>SUM(BJ5:BJ22)</f>
        <v>2771365.68</v>
      </c>
      <c r="BK23" s="9">
        <f t="shared" si="24"/>
        <v>0</v>
      </c>
      <c r="BL23" s="9">
        <f>SUM(BL5:BL22)</f>
        <v>153616224.75999999</v>
      </c>
      <c r="BM23" s="9">
        <f t="shared" si="24"/>
        <v>0</v>
      </c>
      <c r="BN23" s="9">
        <f t="shared" ref="BN23:BV23" si="26">SUM(BN5:BN22)</f>
        <v>0</v>
      </c>
      <c r="BO23" s="9">
        <f>SUM(BO5:BO22)</f>
        <v>1826500</v>
      </c>
      <c r="BP23" s="9">
        <f t="shared" si="26"/>
        <v>0</v>
      </c>
      <c r="BQ23" s="9">
        <f t="shared" si="26"/>
        <v>75021562.459999993</v>
      </c>
      <c r="BR23" s="9">
        <f t="shared" si="26"/>
        <v>0</v>
      </c>
      <c r="BS23" s="9">
        <f t="shared" si="26"/>
        <v>0</v>
      </c>
      <c r="BT23" s="9">
        <f t="shared" si="26"/>
        <v>694486391.93999994</v>
      </c>
      <c r="BU23" s="9">
        <f t="shared" si="26"/>
        <v>122150339.71000001</v>
      </c>
      <c r="BV23" s="9">
        <f t="shared" si="26"/>
        <v>72038942.200000018</v>
      </c>
      <c r="BW23" s="2"/>
      <c r="IM23" s="46"/>
      <c r="IN23" s="46"/>
      <c r="IO23" s="46"/>
      <c r="IP23" s="46"/>
      <c r="IQ23" s="46"/>
      <c r="IR23" s="46"/>
      <c r="IS23" s="46"/>
      <c r="IT23" s="46"/>
    </row>
    <row r="24" spans="1:254" s="17" customFormat="1" ht="12.75" customHeight="1" x14ac:dyDescent="0.2">
      <c r="A24" s="38" t="s">
        <v>30</v>
      </c>
      <c r="B24" s="38">
        <v>1500000</v>
      </c>
      <c r="C24" s="39"/>
      <c r="D24" s="40"/>
      <c r="E24" s="39"/>
      <c r="F24" s="39"/>
      <c r="G24" s="39"/>
      <c r="H24" s="39"/>
      <c r="I24" s="39"/>
      <c r="J24" s="39"/>
      <c r="K24" s="39"/>
      <c r="L24" s="39"/>
      <c r="M24" s="40">
        <f>SUM(G24+L24)</f>
        <v>0</v>
      </c>
      <c r="N24" s="41"/>
      <c r="O24" s="41"/>
      <c r="P24" s="39"/>
      <c r="Q24" s="39">
        <v>250000</v>
      </c>
      <c r="R24" s="39"/>
      <c r="S24" s="42"/>
      <c r="T24" s="42"/>
      <c r="U24" s="39"/>
      <c r="V24" s="39">
        <v>250000</v>
      </c>
      <c r="W24" s="39"/>
      <c r="X24" s="40">
        <f>Q24+V24</f>
        <v>500000</v>
      </c>
      <c r="Y24" s="43">
        <f>M24+X24</f>
        <v>500000</v>
      </c>
      <c r="Z24" s="43"/>
      <c r="AA24" s="43"/>
      <c r="AB24" s="43"/>
      <c r="AC24" s="43">
        <v>323100</v>
      </c>
      <c r="AD24" s="43"/>
      <c r="AE24" s="44"/>
      <c r="AF24" s="44"/>
      <c r="AG24" s="43"/>
      <c r="AH24" s="43"/>
      <c r="AI24" s="43"/>
      <c r="AJ24" s="45">
        <f>AC24+AH24</f>
        <v>323100</v>
      </c>
      <c r="AK24" s="43">
        <f>Y24+AJ24</f>
        <v>823100</v>
      </c>
      <c r="AL24" s="44"/>
      <c r="AM24" s="43"/>
      <c r="AN24" s="43"/>
      <c r="AO24" s="43"/>
      <c r="AP24" s="43">
        <f>AO24</f>
        <v>0</v>
      </c>
      <c r="AQ24" s="44"/>
      <c r="AR24" s="44"/>
      <c r="AS24" s="43"/>
      <c r="AT24" s="43"/>
      <c r="AU24" s="43">
        <f>AI24-AT24</f>
        <v>0</v>
      </c>
      <c r="AV24" s="40">
        <f>SUM(AO24+AT24)</f>
        <v>0</v>
      </c>
      <c r="AW24" s="44">
        <f>AK24+AV24</f>
        <v>823100</v>
      </c>
      <c r="AX24" s="44"/>
      <c r="AY24" s="44"/>
      <c r="AZ24" s="43"/>
      <c r="BA24" s="43"/>
      <c r="BB24" s="43">
        <f>BA24</f>
        <v>0</v>
      </c>
      <c r="BC24" s="44"/>
      <c r="BD24" s="44"/>
      <c r="BE24" s="43"/>
      <c r="BF24" s="43"/>
      <c r="BG24" s="43">
        <f>BF24</f>
        <v>0</v>
      </c>
      <c r="BH24" s="45">
        <f>BB24+BG24</f>
        <v>0</v>
      </c>
      <c r="BI24" s="44"/>
      <c r="BJ24" s="44"/>
      <c r="BK24" s="44"/>
      <c r="BL24" s="43">
        <v>0</v>
      </c>
      <c r="BM24" s="43"/>
      <c r="BN24" s="44"/>
      <c r="BO24" s="44"/>
      <c r="BP24" s="44"/>
      <c r="BQ24" s="43">
        <v>0</v>
      </c>
      <c r="BR24" s="43"/>
      <c r="BS24" s="44"/>
      <c r="BT24" s="45">
        <f>B24-M24-X24-AJ24-AV24-BH24-BJ24-BL24</f>
        <v>676900</v>
      </c>
      <c r="BU24" s="16"/>
      <c r="BV24" s="19"/>
      <c r="BW24" s="2"/>
      <c r="IM24" s="3"/>
      <c r="IN24" s="3"/>
      <c r="IO24" s="3"/>
      <c r="IP24" s="3"/>
      <c r="IQ24" s="3"/>
      <c r="IR24" s="3"/>
      <c r="IS24" s="3"/>
      <c r="IT24" s="3"/>
    </row>
    <row r="25" spans="1:254" s="17" customFormat="1" ht="12.75" customHeight="1" x14ac:dyDescent="0.2">
      <c r="D25" s="18"/>
      <c r="E25" s="18"/>
      <c r="F25" s="18"/>
      <c r="G25" s="24"/>
      <c r="H25" s="24"/>
      <c r="I25" s="24"/>
      <c r="J25" s="18"/>
      <c r="K25" s="18"/>
      <c r="L25" s="24"/>
      <c r="M25" s="16"/>
      <c r="N25" s="16"/>
      <c r="O25" s="16"/>
      <c r="P25" s="18"/>
      <c r="Q25" s="18"/>
      <c r="R25" s="24"/>
      <c r="S25" s="24"/>
      <c r="T25" s="24"/>
      <c r="U25" s="24"/>
      <c r="V25" s="24"/>
      <c r="W25" s="24"/>
      <c r="X25" s="16"/>
      <c r="Y25" s="24"/>
      <c r="Z25" s="24"/>
      <c r="AA25" s="24"/>
      <c r="AB25" s="24"/>
      <c r="AC25" s="24"/>
      <c r="AD25" s="18"/>
      <c r="AE25" s="24"/>
      <c r="AF25" s="24"/>
      <c r="AG25" s="24"/>
      <c r="AH25" s="18"/>
      <c r="AI25" s="18"/>
      <c r="AJ25" s="21"/>
      <c r="AK25" s="18"/>
      <c r="AL25" s="24"/>
      <c r="AM25" s="24"/>
      <c r="AN25" s="24"/>
      <c r="AO25" s="18"/>
      <c r="AP25" s="18"/>
      <c r="AQ25" s="24"/>
      <c r="AR25" s="24"/>
      <c r="AS25" s="24"/>
      <c r="AT25" s="18"/>
      <c r="AU25" s="18"/>
      <c r="AV25" s="21"/>
      <c r="AW25" s="18"/>
      <c r="AX25" s="24"/>
      <c r="AY25" s="24"/>
      <c r="AZ25" s="24"/>
      <c r="BA25" s="18"/>
      <c r="BB25" s="18"/>
      <c r="BC25" s="24"/>
      <c r="BD25" s="24"/>
      <c r="BE25" s="24"/>
      <c r="BF25" s="18"/>
      <c r="BG25" s="18"/>
      <c r="BH25" s="21"/>
      <c r="BI25" s="18"/>
      <c r="BJ25" s="24"/>
      <c r="BK25" s="24"/>
      <c r="BL25" s="24"/>
      <c r="BM25" s="18"/>
      <c r="BN25" s="18"/>
      <c r="BO25" s="24"/>
      <c r="BP25" s="24"/>
      <c r="BQ25" s="24"/>
      <c r="BR25" s="18"/>
      <c r="BS25" s="18"/>
      <c r="BT25" s="24"/>
      <c r="BU25" s="18"/>
      <c r="BV25" s="16"/>
      <c r="IM25" s="3"/>
      <c r="IN25" s="3"/>
      <c r="IO25" s="3"/>
      <c r="IP25" s="3"/>
      <c r="IQ25" s="3"/>
      <c r="IR25" s="3"/>
      <c r="IS25" s="3"/>
      <c r="IT25" s="3"/>
    </row>
    <row r="26" spans="1:254" s="2" customFormat="1" ht="12.75" customHeight="1" x14ac:dyDescent="0.2">
      <c r="A26" s="55" t="s">
        <v>31</v>
      </c>
      <c r="B26" s="55"/>
      <c r="C26" s="53" t="s">
        <v>2</v>
      </c>
      <c r="D26" s="53"/>
      <c r="E26" s="53"/>
      <c r="F26" s="53"/>
      <c r="G26" s="34"/>
      <c r="H26" s="53" t="s">
        <v>3</v>
      </c>
      <c r="I26" s="53"/>
      <c r="J26" s="53"/>
      <c r="K26" s="53"/>
      <c r="L26" s="53"/>
      <c r="M26" s="54" t="s">
        <v>4</v>
      </c>
      <c r="N26" s="53" t="s">
        <v>5</v>
      </c>
      <c r="O26" s="53"/>
      <c r="P26" s="53"/>
      <c r="Q26" s="53"/>
      <c r="R26" s="53"/>
      <c r="S26" s="53" t="s">
        <v>6</v>
      </c>
      <c r="T26" s="53"/>
      <c r="U26" s="53"/>
      <c r="V26" s="53"/>
      <c r="W26" s="53"/>
      <c r="X26" s="54" t="s">
        <v>7</v>
      </c>
      <c r="Y26" s="54" t="s">
        <v>8</v>
      </c>
      <c r="Z26" s="53" t="s">
        <v>9</v>
      </c>
      <c r="AA26" s="53"/>
      <c r="AB26" s="53"/>
      <c r="AC26" s="53"/>
      <c r="AD26" s="53"/>
      <c r="AE26" s="53" t="s">
        <v>10</v>
      </c>
      <c r="AF26" s="53"/>
      <c r="AG26" s="53"/>
      <c r="AH26" s="53"/>
      <c r="AI26" s="53"/>
      <c r="AJ26" s="54" t="s">
        <v>11</v>
      </c>
      <c r="AK26" s="54" t="s">
        <v>8</v>
      </c>
      <c r="AL26" s="53" t="s">
        <v>12</v>
      </c>
      <c r="AM26" s="53"/>
      <c r="AN26" s="53"/>
      <c r="AO26" s="53"/>
      <c r="AP26" s="53"/>
      <c r="AQ26" s="53" t="s">
        <v>13</v>
      </c>
      <c r="AR26" s="53"/>
      <c r="AS26" s="53"/>
      <c r="AT26" s="53"/>
      <c r="AU26" s="53"/>
      <c r="AV26" s="54" t="s">
        <v>14</v>
      </c>
      <c r="AW26" s="54" t="s">
        <v>8</v>
      </c>
      <c r="AX26" s="53" t="s">
        <v>15</v>
      </c>
      <c r="AY26" s="53"/>
      <c r="AZ26" s="53"/>
      <c r="BA26" s="53"/>
      <c r="BB26" s="53"/>
      <c r="BC26" s="53" t="s">
        <v>16</v>
      </c>
      <c r="BD26" s="53"/>
      <c r="BE26" s="53"/>
      <c r="BF26" s="53"/>
      <c r="BG26" s="53"/>
      <c r="BH26" s="54" t="s">
        <v>17</v>
      </c>
      <c r="BI26" s="54" t="s">
        <v>8</v>
      </c>
      <c r="BJ26" s="53" t="s">
        <v>18</v>
      </c>
      <c r="BK26" s="53"/>
      <c r="BL26" s="53"/>
      <c r="BM26" s="53"/>
      <c r="BN26" s="53"/>
      <c r="BO26" s="53" t="s">
        <v>19</v>
      </c>
      <c r="BP26" s="53"/>
      <c r="BQ26" s="53"/>
      <c r="BR26" s="53"/>
      <c r="BS26" s="53"/>
      <c r="BT26" s="36" t="s">
        <v>20</v>
      </c>
      <c r="BU26" s="30"/>
      <c r="BV26" s="31"/>
      <c r="IP26" s="3"/>
      <c r="IQ26" s="3"/>
      <c r="IR26" s="3"/>
      <c r="IS26" s="3"/>
      <c r="IT26" s="3"/>
    </row>
    <row r="27" spans="1:254" s="2" customFormat="1" ht="12.75" customHeight="1" x14ac:dyDescent="0.2">
      <c r="A27" s="55"/>
      <c r="B27" s="55"/>
      <c r="C27" s="53" t="s">
        <v>21</v>
      </c>
      <c r="D27" s="53"/>
      <c r="E27" s="53" t="s">
        <v>22</v>
      </c>
      <c r="F27" s="53"/>
      <c r="G27" s="53" t="s">
        <v>23</v>
      </c>
      <c r="H27" s="53" t="s">
        <v>21</v>
      </c>
      <c r="I27" s="53"/>
      <c r="J27" s="53" t="s">
        <v>22</v>
      </c>
      <c r="K27" s="53"/>
      <c r="L27" s="53" t="s">
        <v>23</v>
      </c>
      <c r="M27" s="54"/>
      <c r="N27" s="53" t="s">
        <v>21</v>
      </c>
      <c r="O27" s="53"/>
      <c r="P27" s="53" t="s">
        <v>22</v>
      </c>
      <c r="Q27" s="53"/>
      <c r="R27" s="53" t="s">
        <v>23</v>
      </c>
      <c r="S27" s="53" t="s">
        <v>21</v>
      </c>
      <c r="T27" s="53"/>
      <c r="U27" s="53" t="s">
        <v>22</v>
      </c>
      <c r="V27" s="53"/>
      <c r="W27" s="53" t="s">
        <v>23</v>
      </c>
      <c r="X27" s="54"/>
      <c r="Y27" s="54"/>
      <c r="Z27" s="53" t="s">
        <v>21</v>
      </c>
      <c r="AA27" s="53"/>
      <c r="AB27" s="53" t="s">
        <v>22</v>
      </c>
      <c r="AC27" s="53"/>
      <c r="AD27" s="53" t="s">
        <v>23</v>
      </c>
      <c r="AE27" s="53" t="s">
        <v>21</v>
      </c>
      <c r="AF27" s="53"/>
      <c r="AG27" s="53" t="s">
        <v>22</v>
      </c>
      <c r="AH27" s="53"/>
      <c r="AI27" s="53" t="s">
        <v>23</v>
      </c>
      <c r="AJ27" s="54"/>
      <c r="AK27" s="54"/>
      <c r="AL27" s="53" t="s">
        <v>21</v>
      </c>
      <c r="AM27" s="53"/>
      <c r="AN27" s="53" t="s">
        <v>22</v>
      </c>
      <c r="AO27" s="53"/>
      <c r="AP27" s="53" t="s">
        <v>23</v>
      </c>
      <c r="AQ27" s="53" t="s">
        <v>21</v>
      </c>
      <c r="AR27" s="53"/>
      <c r="AS27" s="53" t="s">
        <v>22</v>
      </c>
      <c r="AT27" s="53"/>
      <c r="AU27" s="53" t="s">
        <v>23</v>
      </c>
      <c r="AV27" s="54"/>
      <c r="AW27" s="54"/>
      <c r="AX27" s="53" t="s">
        <v>21</v>
      </c>
      <c r="AY27" s="53"/>
      <c r="AZ27" s="53" t="s">
        <v>22</v>
      </c>
      <c r="BA27" s="53"/>
      <c r="BB27" s="53" t="s">
        <v>23</v>
      </c>
      <c r="BC27" s="53" t="s">
        <v>21</v>
      </c>
      <c r="BD27" s="53"/>
      <c r="BE27" s="53" t="s">
        <v>22</v>
      </c>
      <c r="BF27" s="53"/>
      <c r="BG27" s="53" t="s">
        <v>23</v>
      </c>
      <c r="BH27" s="54"/>
      <c r="BI27" s="54"/>
      <c r="BJ27" s="53" t="s">
        <v>21</v>
      </c>
      <c r="BK27" s="53"/>
      <c r="BL27" s="53" t="s">
        <v>22</v>
      </c>
      <c r="BM27" s="53"/>
      <c r="BN27" s="53"/>
      <c r="BO27" s="53" t="s">
        <v>21</v>
      </c>
      <c r="BP27" s="53"/>
      <c r="BQ27" s="53" t="s">
        <v>22</v>
      </c>
      <c r="BR27" s="53"/>
      <c r="BS27" s="53"/>
      <c r="BT27" s="53" t="s">
        <v>24</v>
      </c>
      <c r="BU27" s="32"/>
      <c r="BV27" s="33"/>
      <c r="IP27" s="3"/>
      <c r="IQ27" s="3"/>
      <c r="IR27" s="3"/>
      <c r="IS27" s="3"/>
      <c r="IT27" s="3"/>
    </row>
    <row r="28" spans="1:254" s="2" customFormat="1" ht="12.75" customHeight="1" x14ac:dyDescent="0.2">
      <c r="A28" s="55"/>
      <c r="B28" s="55"/>
      <c r="C28" s="34" t="s">
        <v>24</v>
      </c>
      <c r="D28" s="34" t="s">
        <v>25</v>
      </c>
      <c r="E28" s="34" t="s">
        <v>24</v>
      </c>
      <c r="F28" s="34" t="s">
        <v>25</v>
      </c>
      <c r="G28" s="53"/>
      <c r="H28" s="34" t="s">
        <v>24</v>
      </c>
      <c r="I28" s="34" t="s">
        <v>25</v>
      </c>
      <c r="J28" s="34" t="s">
        <v>24</v>
      </c>
      <c r="K28" s="34" t="s">
        <v>25</v>
      </c>
      <c r="L28" s="53"/>
      <c r="M28" s="54"/>
      <c r="N28" s="34" t="s">
        <v>24</v>
      </c>
      <c r="O28" s="34" t="s">
        <v>25</v>
      </c>
      <c r="P28" s="34" t="s">
        <v>24</v>
      </c>
      <c r="Q28" s="34" t="s">
        <v>25</v>
      </c>
      <c r="R28" s="53"/>
      <c r="S28" s="34" t="s">
        <v>24</v>
      </c>
      <c r="T28" s="34" t="s">
        <v>25</v>
      </c>
      <c r="U28" s="34" t="s">
        <v>24</v>
      </c>
      <c r="V28" s="34" t="s">
        <v>25</v>
      </c>
      <c r="W28" s="53"/>
      <c r="X28" s="54"/>
      <c r="Y28" s="54"/>
      <c r="Z28" s="34" t="s">
        <v>24</v>
      </c>
      <c r="AA28" s="34" t="s">
        <v>25</v>
      </c>
      <c r="AB28" s="34" t="s">
        <v>24</v>
      </c>
      <c r="AC28" s="34" t="s">
        <v>25</v>
      </c>
      <c r="AD28" s="53"/>
      <c r="AE28" s="34" t="s">
        <v>24</v>
      </c>
      <c r="AF28" s="34" t="s">
        <v>25</v>
      </c>
      <c r="AG28" s="34" t="s">
        <v>24</v>
      </c>
      <c r="AH28" s="34" t="s">
        <v>25</v>
      </c>
      <c r="AI28" s="53"/>
      <c r="AJ28" s="54"/>
      <c r="AK28" s="54"/>
      <c r="AL28" s="34" t="s">
        <v>24</v>
      </c>
      <c r="AM28" s="34" t="s">
        <v>25</v>
      </c>
      <c r="AN28" s="34" t="s">
        <v>24</v>
      </c>
      <c r="AO28" s="34" t="s">
        <v>25</v>
      </c>
      <c r="AP28" s="53"/>
      <c r="AQ28" s="34" t="s">
        <v>24</v>
      </c>
      <c r="AR28" s="34" t="s">
        <v>25</v>
      </c>
      <c r="AS28" s="34" t="s">
        <v>24</v>
      </c>
      <c r="AT28" s="34" t="s">
        <v>25</v>
      </c>
      <c r="AU28" s="53"/>
      <c r="AV28" s="54"/>
      <c r="AW28" s="54"/>
      <c r="AX28" s="34" t="s">
        <v>24</v>
      </c>
      <c r="AY28" s="34" t="s">
        <v>25</v>
      </c>
      <c r="AZ28" s="34" t="s">
        <v>24</v>
      </c>
      <c r="BA28" s="34" t="s">
        <v>25</v>
      </c>
      <c r="BB28" s="53"/>
      <c r="BC28" s="34" t="s">
        <v>24</v>
      </c>
      <c r="BD28" s="34" t="s">
        <v>25</v>
      </c>
      <c r="BE28" s="34" t="s">
        <v>24</v>
      </c>
      <c r="BF28" s="34" t="s">
        <v>25</v>
      </c>
      <c r="BG28" s="53"/>
      <c r="BH28" s="54"/>
      <c r="BI28" s="54"/>
      <c r="BJ28" s="34" t="s">
        <v>24</v>
      </c>
      <c r="BK28" s="34" t="s">
        <v>25</v>
      </c>
      <c r="BL28" s="34" t="s">
        <v>24</v>
      </c>
      <c r="BM28" s="34" t="s">
        <v>25</v>
      </c>
      <c r="BN28" s="4" t="s">
        <v>23</v>
      </c>
      <c r="BO28" s="34" t="s">
        <v>24</v>
      </c>
      <c r="BP28" s="34" t="s">
        <v>25</v>
      </c>
      <c r="BQ28" s="34" t="s">
        <v>24</v>
      </c>
      <c r="BR28" s="34" t="s">
        <v>25</v>
      </c>
      <c r="BS28" s="4" t="s">
        <v>23</v>
      </c>
      <c r="BT28" s="53"/>
      <c r="BU28" s="34" t="s">
        <v>25</v>
      </c>
      <c r="BV28" s="4" t="s">
        <v>23</v>
      </c>
      <c r="IP28" s="3"/>
      <c r="IQ28" s="3"/>
      <c r="IR28" s="3"/>
      <c r="IS28" s="3"/>
      <c r="IT28" s="3"/>
    </row>
    <row r="29" spans="1:254" s="24" customFormat="1" ht="12.75" customHeight="1" x14ac:dyDescent="0.2">
      <c r="A29" s="14" t="s">
        <v>32</v>
      </c>
      <c r="B29" s="9">
        <v>262299644.69999999</v>
      </c>
      <c r="C29" s="8"/>
      <c r="D29" s="8"/>
      <c r="E29" s="8">
        <v>34449648.350000001</v>
      </c>
      <c r="F29" s="8">
        <v>32089307.98</v>
      </c>
      <c r="G29" s="8">
        <f>F29-E29</f>
        <v>-2360340.370000001</v>
      </c>
      <c r="H29" s="10"/>
      <c r="I29" s="10"/>
      <c r="J29" s="8">
        <f>19228137.74-G29</f>
        <v>21588478.109999999</v>
      </c>
      <c r="K29" s="8">
        <v>28539198.91</v>
      </c>
      <c r="L29" s="8">
        <f>K29-J29</f>
        <v>6950720.8000000007</v>
      </c>
      <c r="M29" s="8">
        <f>F29+K29</f>
        <v>60628506.890000001</v>
      </c>
      <c r="N29" s="11"/>
      <c r="O29" s="11"/>
      <c r="P29" s="8">
        <f>17719914.79-L29</f>
        <v>10769193.989999998</v>
      </c>
      <c r="Q29" s="8">
        <v>19308703.879999999</v>
      </c>
      <c r="R29" s="8">
        <f>Q29-P29</f>
        <v>8539509.8900000006</v>
      </c>
      <c r="S29" s="10"/>
      <c r="T29" s="10"/>
      <c r="U29" s="8">
        <f>22416127.63-R29</f>
        <v>13876617.739999998</v>
      </c>
      <c r="V29" s="8">
        <v>25962703.559999999</v>
      </c>
      <c r="W29" s="8">
        <f>V29-U29</f>
        <v>12086085.82</v>
      </c>
      <c r="X29" s="8">
        <f>Q29+V29</f>
        <v>45271407.439999998</v>
      </c>
      <c r="Y29" s="9">
        <f>M29+X29</f>
        <v>105899914.33</v>
      </c>
      <c r="Z29" s="8"/>
      <c r="AA29" s="8"/>
      <c r="AB29" s="8">
        <f>20229860.15-W29</f>
        <v>8143774.3299999982</v>
      </c>
      <c r="AC29" s="8">
        <v>21171071.079999998</v>
      </c>
      <c r="AD29" s="8">
        <f>AC29-AB29</f>
        <v>13027296.75</v>
      </c>
      <c r="AE29" s="10"/>
      <c r="AF29" s="10"/>
      <c r="AG29" s="8">
        <f>18643209.53-AD29</f>
        <v>5615912.7800000012</v>
      </c>
      <c r="AH29" s="8">
        <v>18999631.510000002</v>
      </c>
      <c r="AI29" s="8">
        <f>AH29-AG29</f>
        <v>13383718.73</v>
      </c>
      <c r="AJ29" s="8">
        <f>AC29+AH29</f>
        <v>40170702.590000004</v>
      </c>
      <c r="AK29" s="8">
        <f>Y29+AJ29</f>
        <v>146070616.92000002</v>
      </c>
      <c r="AL29" s="10"/>
      <c r="AM29" s="10"/>
      <c r="AN29" s="8">
        <f>20086382.23-AI29</f>
        <v>6702663.5</v>
      </c>
      <c r="AO29" s="8">
        <v>21356949.670000002</v>
      </c>
      <c r="AP29" s="8">
        <f>AO29-AN29</f>
        <v>14654286.170000002</v>
      </c>
      <c r="AQ29" s="10"/>
      <c r="AR29" s="10"/>
      <c r="AS29" s="8">
        <f>17487779.58-AP29</f>
        <v>2833493.4099999964</v>
      </c>
      <c r="AT29" s="8">
        <v>18063662.780000001</v>
      </c>
      <c r="AU29" s="8">
        <f>AT29-AS29</f>
        <v>15230169.370000005</v>
      </c>
      <c r="AV29" s="8">
        <f>AO29+AT29</f>
        <v>39420612.450000003</v>
      </c>
      <c r="AW29" s="10">
        <f>AK29+AV29</f>
        <v>185491229.37</v>
      </c>
      <c r="AX29" s="10"/>
      <c r="AY29" s="10"/>
      <c r="AZ29" s="8">
        <f>16482385.09-AU29</f>
        <v>1252215.7199999951</v>
      </c>
      <c r="BA29" s="8">
        <v>18271269.02</v>
      </c>
      <c r="BB29" s="8">
        <f>BA29-AZ29</f>
        <v>17019053.300000004</v>
      </c>
      <c r="BC29" s="8"/>
      <c r="BD29" s="8"/>
      <c r="BE29" s="8">
        <f>18687800.46-BB29</f>
        <v>1668747.1599999964</v>
      </c>
      <c r="BF29" s="8">
        <v>19475803.789999999</v>
      </c>
      <c r="BG29" s="8">
        <f>BF29-BE29</f>
        <v>17807056.630000003</v>
      </c>
      <c r="BH29" s="8">
        <f>BA29+BF29</f>
        <v>37747072.810000002</v>
      </c>
      <c r="BI29" s="8">
        <f>AW29+BH29</f>
        <v>223238302.18000001</v>
      </c>
      <c r="BJ29" s="10"/>
      <c r="BK29" s="10"/>
      <c r="BL29" s="8">
        <f>25446213.13-BG29</f>
        <v>7639156.4999999963</v>
      </c>
      <c r="BM29" s="8"/>
      <c r="BN29" s="10"/>
      <c r="BO29" s="8"/>
      <c r="BP29" s="10"/>
      <c r="BQ29" s="8">
        <v>31422186.02</v>
      </c>
      <c r="BR29" s="8"/>
      <c r="BS29" s="10"/>
      <c r="BT29" s="8">
        <f>SUM(M29+X29+AJ29+AV29+BH29+BL29+BQ29)</f>
        <v>262299644.70000002</v>
      </c>
      <c r="BU29" s="9" t="e">
        <f>#REF!+K29+Q29+V29+AC29+AH29+AO29+AT29+BA29+BF29+BM29+BR29</f>
        <v>#REF!</v>
      </c>
      <c r="BV29" s="11" t="e">
        <f>BT29-BU29</f>
        <v>#REF!</v>
      </c>
      <c r="IP29" s="3"/>
      <c r="IQ29" s="3"/>
      <c r="IR29" s="3"/>
      <c r="IS29" s="3"/>
      <c r="IT29" s="3"/>
    </row>
    <row r="30" spans="1:254" s="24" customFormat="1" ht="12.75" customHeight="1" x14ac:dyDescent="0.2">
      <c r="A30" s="14" t="s">
        <v>33</v>
      </c>
      <c r="B30" s="9">
        <v>262299644.69999999</v>
      </c>
      <c r="C30" s="8">
        <f>C23-C39</f>
        <v>4086500</v>
      </c>
      <c r="D30" s="8">
        <f>D48-D39</f>
        <v>3900763.1100000003</v>
      </c>
      <c r="E30" s="8">
        <f>14647258.09+F33</f>
        <v>17640158.09</v>
      </c>
      <c r="F30" s="8">
        <v>17441689.350000001</v>
      </c>
      <c r="G30" s="8">
        <f>C30-D30+E30-F30</f>
        <v>384205.62999999896</v>
      </c>
      <c r="H30" s="8">
        <f>H48-H39</f>
        <v>4072236.8899999997</v>
      </c>
      <c r="I30" s="8">
        <f>I23-I39</f>
        <v>3994788.1100000003</v>
      </c>
      <c r="J30" s="8">
        <f>14677939.07+K33+G30</f>
        <v>15404744.699999999</v>
      </c>
      <c r="K30" s="8">
        <v>20631858.91</v>
      </c>
      <c r="L30" s="8">
        <f>SUM(H30-I30,J30-K30)</f>
        <v>-5149665.4300000016</v>
      </c>
      <c r="M30" s="8">
        <f>D30+F30+I30+K30</f>
        <v>45969099.480000004</v>
      </c>
      <c r="N30" s="8">
        <f>N48-N39</f>
        <v>3998948.78</v>
      </c>
      <c r="O30" s="8">
        <f>O48-O39</f>
        <v>3877819.2100000004</v>
      </c>
      <c r="P30" s="8">
        <f>17345402.16+L30</f>
        <v>12195736.729999999</v>
      </c>
      <c r="Q30" s="8">
        <v>17105301.890000001</v>
      </c>
      <c r="R30" s="8">
        <f>SUM(N30-O30,P30-Q30)</f>
        <v>-4788435.5900000026</v>
      </c>
      <c r="S30" s="8">
        <f>S48-S39</f>
        <v>4042629.5699999994</v>
      </c>
      <c r="T30" s="8">
        <f>T23-T39</f>
        <v>3868580.4699999997</v>
      </c>
      <c r="U30" s="8">
        <v>16575488.43</v>
      </c>
      <c r="V30" s="8">
        <v>18063413.039999999</v>
      </c>
      <c r="W30" s="8">
        <f>SUM(S30-T30,U30-V30)</f>
        <v>-1313875.5099999998</v>
      </c>
      <c r="X30" s="8">
        <f>O30+Q30+T30+V30</f>
        <v>42915114.609999999</v>
      </c>
      <c r="Y30" s="9">
        <f>M30+X30</f>
        <v>88884214.090000004</v>
      </c>
      <c r="Z30" s="8">
        <f>Z48-Z39</f>
        <v>3495549.0999999996</v>
      </c>
      <c r="AA30" s="8">
        <f>AA48-AA39</f>
        <v>3306352.0100000002</v>
      </c>
      <c r="AB30" s="8">
        <v>17288709.120000001</v>
      </c>
      <c r="AC30" s="8">
        <v>17726875.030000001</v>
      </c>
      <c r="AD30" s="8">
        <f>Z30-AA30+AB30-AC30</f>
        <v>-248968.8200000003</v>
      </c>
      <c r="AE30" s="8">
        <f>AE48-AE39</f>
        <v>3510697.0899999994</v>
      </c>
      <c r="AF30" s="8">
        <f>AF48-AF39</f>
        <v>3238323.73</v>
      </c>
      <c r="AG30" s="8">
        <v>18898346.77</v>
      </c>
      <c r="AH30" s="8">
        <v>16837524.690000001</v>
      </c>
      <c r="AI30" s="8">
        <f>AE30-AF30+AG30-AH30</f>
        <v>2333195.4399999976</v>
      </c>
      <c r="AJ30" s="8">
        <f>AA30+AC30+AF30+AH30</f>
        <v>41109075.460000008</v>
      </c>
      <c r="AK30" s="8">
        <f>Y30+AJ30</f>
        <v>129993289.55000001</v>
      </c>
      <c r="AL30" s="8">
        <f>AL48-AL39</f>
        <v>3193873.3599999994</v>
      </c>
      <c r="AM30" s="8">
        <f>AM48-AM39</f>
        <v>2893178.37</v>
      </c>
      <c r="AN30" s="8">
        <v>18102643.300000001</v>
      </c>
      <c r="AO30" s="8">
        <v>15900782.779999999</v>
      </c>
      <c r="AP30" s="8">
        <f>AL30-AM30+AN30-AO30</f>
        <v>2502555.5099999998</v>
      </c>
      <c r="AQ30" s="8">
        <f>AQ48-AQ39</f>
        <v>3222194.9899999993</v>
      </c>
      <c r="AR30" s="8">
        <f>AR48-AR39</f>
        <v>2881416.51</v>
      </c>
      <c r="AS30" s="8">
        <v>18445691.760000002</v>
      </c>
      <c r="AT30" s="8">
        <v>18695761.219999999</v>
      </c>
      <c r="AU30" s="8">
        <f>AQ30-AR30+AS30-AT30</f>
        <v>90709.020000003278</v>
      </c>
      <c r="AV30" s="8">
        <f>AM30+AO30+AR30+AT30</f>
        <v>40371138.879999995</v>
      </c>
      <c r="AW30" s="9">
        <f>AK30+AV30</f>
        <v>170364428.43000001</v>
      </c>
      <c r="AX30" s="8">
        <f>AX48-AX39</f>
        <v>3222278.4799999995</v>
      </c>
      <c r="AY30" s="8">
        <f>AY48-AY39</f>
        <v>2312592.98</v>
      </c>
      <c r="AZ30" s="8">
        <v>18717596.030000001</v>
      </c>
      <c r="BA30" s="8">
        <v>15550168.27</v>
      </c>
      <c r="BB30" s="8">
        <f>AX30-AY30+AZ30-BA30</f>
        <v>4077113.2600000016</v>
      </c>
      <c r="BC30" s="8">
        <f>BC48-BC39</f>
        <v>3442185.5</v>
      </c>
      <c r="BD30" s="8">
        <f>BD48-BD39</f>
        <v>2635198.9200000004</v>
      </c>
      <c r="BE30" s="8">
        <v>16928319.239999998</v>
      </c>
      <c r="BF30" s="8">
        <v>15884248.539999999</v>
      </c>
      <c r="BG30" s="8">
        <f>BC30-BD30+BE30-BF30</f>
        <v>1851057.2799999975</v>
      </c>
      <c r="BH30" s="8">
        <f>AY30+BA30+BD30+BF30</f>
        <v>36382208.710000001</v>
      </c>
      <c r="BI30" s="9">
        <f>AW30+BH30</f>
        <v>206746637.14000002</v>
      </c>
      <c r="BJ30" s="8">
        <f>BJ48-BJ39</f>
        <v>2771365.68</v>
      </c>
      <c r="BK30" s="9"/>
      <c r="BL30" s="8">
        <v>18539513.199999999</v>
      </c>
      <c r="BM30" s="9"/>
      <c r="BN30" s="9">
        <f>BM23</f>
        <v>0</v>
      </c>
      <c r="BO30" s="8">
        <f>BO48-BO39</f>
        <v>1826500</v>
      </c>
      <c r="BP30" s="9"/>
      <c r="BQ30" s="8">
        <v>32158737.530000001</v>
      </c>
      <c r="BR30" s="9"/>
      <c r="BS30" s="9">
        <f>BR23</f>
        <v>0</v>
      </c>
      <c r="BT30" s="8">
        <f>SUM(M30+X30+AJ30+AV30+BH30+BJ30+BL30+BO30+BQ30)</f>
        <v>262042753.55000001</v>
      </c>
      <c r="BU30" s="8">
        <f>BS23-BS24</f>
        <v>0</v>
      </c>
      <c r="BV30" s="8">
        <f>BT23-BT24</f>
        <v>693809491.93999994</v>
      </c>
      <c r="IP30" s="3"/>
      <c r="IQ30" s="3"/>
      <c r="IR30" s="3"/>
      <c r="IS30" s="3"/>
      <c r="IT30" s="3"/>
    </row>
    <row r="31" spans="1:254" s="24" customFormat="1" ht="15.75" customHeight="1" x14ac:dyDescent="0.2">
      <c r="A31" s="14" t="s">
        <v>53</v>
      </c>
      <c r="B31" s="9"/>
      <c r="C31" s="8"/>
      <c r="D31" s="8"/>
      <c r="E31" s="8">
        <f>E29-C30-E30</f>
        <v>12722990.260000002</v>
      </c>
      <c r="F31" s="8">
        <f>F29-D30-F30</f>
        <v>10746855.52</v>
      </c>
      <c r="G31" s="8"/>
      <c r="H31" s="8"/>
      <c r="I31" s="8"/>
      <c r="J31" s="8">
        <f>J29-H30-J30</f>
        <v>2111496.5199999996</v>
      </c>
      <c r="K31" s="8">
        <f>K29-I30-K30</f>
        <v>3912551.8900000006</v>
      </c>
      <c r="L31" s="8"/>
      <c r="M31" s="8">
        <f>M29-M30</f>
        <v>14659407.409999996</v>
      </c>
      <c r="N31" s="8"/>
      <c r="O31" s="8"/>
      <c r="P31" s="8">
        <f>P29-N30-P30</f>
        <v>-5425491.5199999996</v>
      </c>
      <c r="Q31" s="8">
        <f>K32</f>
        <v>24622799.829999998</v>
      </c>
      <c r="R31" s="9"/>
      <c r="S31" s="8"/>
      <c r="T31" s="8"/>
      <c r="U31" s="8">
        <f>U29-S30-U30</f>
        <v>-6741500.2600000016</v>
      </c>
      <c r="V31" s="8">
        <f>Q32</f>
        <v>22948382.609999996</v>
      </c>
      <c r="W31" s="9"/>
      <c r="X31" s="8">
        <f>X29-X30</f>
        <v>2356292.8299999982</v>
      </c>
      <c r="Y31" s="9"/>
      <c r="Z31" s="8"/>
      <c r="AA31" s="8"/>
      <c r="AB31" s="8">
        <f>AB29-Z30-AB30</f>
        <v>-12640483.890000002</v>
      </c>
      <c r="AC31" s="8">
        <f>AC29-AA30-AC30</f>
        <v>137844.03999999538</v>
      </c>
      <c r="AD31" s="9"/>
      <c r="AE31" s="8"/>
      <c r="AF31" s="8"/>
      <c r="AG31" s="8">
        <f>AG29-AE30-AG30</f>
        <v>-16793131.079999998</v>
      </c>
      <c r="AH31" s="8">
        <f>AH29-AF30-AH30</f>
        <v>-1076216.9100000001</v>
      </c>
      <c r="AI31" s="8"/>
      <c r="AJ31" s="8">
        <f>AJ29-AJ30</f>
        <v>-938372.87000000477</v>
      </c>
      <c r="AK31" s="8"/>
      <c r="AL31" s="8"/>
      <c r="AM31" s="8"/>
      <c r="AN31" s="8">
        <f>AN29-AL30-AN30</f>
        <v>-14593853.16</v>
      </c>
      <c r="AO31" s="8">
        <f>AO29-AM30-AO30</f>
        <v>2562988.5200000014</v>
      </c>
      <c r="AP31" s="8"/>
      <c r="AQ31" s="8"/>
      <c r="AR31" s="8"/>
      <c r="AS31" s="8">
        <f>AS29-AQ30-AS30</f>
        <v>-18834393.340000004</v>
      </c>
      <c r="AT31" s="8">
        <f>AT29-AR30-AT30</f>
        <v>-3513514.9499999974</v>
      </c>
      <c r="AU31" s="8"/>
      <c r="AV31" s="8">
        <f>AV29-AV30</f>
        <v>-950526.42999999225</v>
      </c>
      <c r="AW31" s="9"/>
      <c r="AX31" s="8"/>
      <c r="AY31" s="8"/>
      <c r="AZ31" s="8">
        <f>AZ29-AX30-AZ30</f>
        <v>-20687658.790000007</v>
      </c>
      <c r="BA31" s="8">
        <f>BA29-AY30-BA30</f>
        <v>408507.76999999955</v>
      </c>
      <c r="BB31" s="8"/>
      <c r="BC31" s="8"/>
      <c r="BD31" s="8"/>
      <c r="BE31" s="8">
        <f>BE29-BC30-BE30</f>
        <v>-18701757.580000002</v>
      </c>
      <c r="BF31" s="8">
        <f>BF29-BD30-BF30</f>
        <v>956356.32999999821</v>
      </c>
      <c r="BG31" s="8"/>
      <c r="BH31" s="8">
        <f>BH29-BH30</f>
        <v>1364864.1000000015</v>
      </c>
      <c r="BI31" s="9"/>
      <c r="BJ31" s="8"/>
      <c r="BK31" s="9"/>
      <c r="BL31" s="8">
        <f>BL29-BJ30-BL30</f>
        <v>-13671722.380000003</v>
      </c>
      <c r="BM31" s="9"/>
      <c r="BN31" s="9"/>
      <c r="BO31" s="8"/>
      <c r="BP31" s="9"/>
      <c r="BQ31" s="8">
        <f>BQ29-BO30-BQ30</f>
        <v>-2563051.5100000016</v>
      </c>
      <c r="BR31" s="9"/>
      <c r="BS31" s="9"/>
      <c r="BT31" s="8">
        <f>BT29-BT30</f>
        <v>256891.15000000596</v>
      </c>
      <c r="BU31" s="8"/>
      <c r="BV31" s="8"/>
      <c r="IP31" s="3"/>
      <c r="IQ31" s="3"/>
      <c r="IR31" s="3"/>
      <c r="IS31" s="3"/>
      <c r="IT31" s="3"/>
    </row>
    <row r="32" spans="1:254" s="24" customFormat="1" ht="15.75" customHeight="1" x14ac:dyDescent="0.2">
      <c r="A32" s="14" t="s">
        <v>54</v>
      </c>
      <c r="B32" s="9">
        <f>B29+B33-B30</f>
        <v>9963392.4200000167</v>
      </c>
      <c r="C32" s="8"/>
      <c r="D32" s="8"/>
      <c r="E32" s="8">
        <f>E31+B32</f>
        <v>22686382.680000018</v>
      </c>
      <c r="F32" s="8">
        <f>F31+B33</f>
        <v>20710247.939999998</v>
      </c>
      <c r="G32" s="8"/>
      <c r="H32" s="8"/>
      <c r="I32" s="8"/>
      <c r="J32" s="8">
        <f>J31+F32</f>
        <v>22821744.459999997</v>
      </c>
      <c r="K32" s="8">
        <f>K31+F32</f>
        <v>24622799.829999998</v>
      </c>
      <c r="L32" s="8"/>
      <c r="M32" s="8">
        <f>M31+B33</f>
        <v>24622799.829999998</v>
      </c>
      <c r="N32" s="11"/>
      <c r="O32" s="11"/>
      <c r="P32" s="8">
        <f>P31+K32</f>
        <v>19197308.309999999</v>
      </c>
      <c r="Q32" s="8">
        <f>Q29+Q33-O30-Q30+Q31</f>
        <v>22948382.609999996</v>
      </c>
      <c r="R32" s="8"/>
      <c r="S32" s="8"/>
      <c r="T32" s="8"/>
      <c r="U32" s="8">
        <f>U31+P32</f>
        <v>12455808.049999997</v>
      </c>
      <c r="V32" s="8">
        <f>V29+V33-T30-V30+V31</f>
        <v>26979092.659999996</v>
      </c>
      <c r="W32" s="8"/>
      <c r="X32" s="8">
        <f>X31+M32</f>
        <v>26979092.659999996</v>
      </c>
      <c r="Y32" s="8" t="e">
        <f>Y29+Y30+#REF!</f>
        <v>#REF!</v>
      </c>
      <c r="Z32" s="8"/>
      <c r="AA32" s="8"/>
      <c r="AB32" s="8">
        <f>AB31+V32</f>
        <v>14338608.769999994</v>
      </c>
      <c r="AC32" s="8">
        <f>AC31+V32</f>
        <v>27116936.699999992</v>
      </c>
      <c r="AD32" s="8"/>
      <c r="AE32" s="8" t="s">
        <v>27</v>
      </c>
      <c r="AF32" s="8"/>
      <c r="AG32" s="8">
        <f>AG31+AC32</f>
        <v>10323805.619999994</v>
      </c>
      <c r="AH32" s="8">
        <f>AH31+AC32</f>
        <v>26040719.789999992</v>
      </c>
      <c r="AI32" s="8"/>
      <c r="AJ32" s="8">
        <f>AJ31+X32</f>
        <v>26040719.789999992</v>
      </c>
      <c r="AK32" s="8" t="e">
        <f>AK29+AK30+#REF!-#REF!-#REF!-#REF!-#REF!</f>
        <v>#REF!</v>
      </c>
      <c r="AL32" s="8" t="s">
        <v>27</v>
      </c>
      <c r="AM32" s="8"/>
      <c r="AN32" s="8">
        <f>AN31+AH32</f>
        <v>11446866.629999992</v>
      </c>
      <c r="AO32" s="8">
        <f>AO31+AH32</f>
        <v>28603708.309999995</v>
      </c>
      <c r="AP32" s="8"/>
      <c r="AQ32" s="8"/>
      <c r="AR32" s="8"/>
      <c r="AS32" s="8">
        <f>AS31+AN32</f>
        <v>-7387526.7100000121</v>
      </c>
      <c r="AT32" s="8">
        <f>AO32+AT31</f>
        <v>25090193.359999999</v>
      </c>
      <c r="AU32" s="8"/>
      <c r="AV32" s="8">
        <f>AV31+AJ32</f>
        <v>25090193.359999999</v>
      </c>
      <c r="AW32" s="8" t="e">
        <f>AW29+AW30+#REF!-#REF!-#REF!-#REF!-#REF!</f>
        <v>#REF!</v>
      </c>
      <c r="AX32" s="8"/>
      <c r="AY32" s="8"/>
      <c r="AZ32" s="8">
        <f>AZ31+AV32</f>
        <v>4402534.5699999928</v>
      </c>
      <c r="BA32" s="8">
        <f>BA31+AV32</f>
        <v>25498701.129999999</v>
      </c>
      <c r="BB32" s="8"/>
      <c r="BC32" s="8"/>
      <c r="BD32" s="8"/>
      <c r="BE32" s="8">
        <f>BE31+BA32</f>
        <v>6796943.549999997</v>
      </c>
      <c r="BF32" s="8">
        <f>BF31+BA32</f>
        <v>26455057.459999997</v>
      </c>
      <c r="BG32" s="8"/>
      <c r="BH32" s="8">
        <f>BH31+AV32</f>
        <v>26455057.460000001</v>
      </c>
      <c r="BI32" s="8" t="e">
        <f>BI29+BI30+#REF!-#REF!-#REF!-#REF!-#REF!</f>
        <v>#REF!</v>
      </c>
      <c r="BJ32" s="8"/>
      <c r="BK32" s="8"/>
      <c r="BL32" s="8">
        <f>BL31+BH32</f>
        <v>12783335.079999998</v>
      </c>
      <c r="BM32" s="8">
        <f>BM29-SUM(BM30:BM31)</f>
        <v>0</v>
      </c>
      <c r="BN32" s="8">
        <f>BN29-SUM(BN30:BN31)</f>
        <v>0</v>
      </c>
      <c r="BO32" s="8"/>
      <c r="BP32" s="8"/>
      <c r="BQ32" s="8">
        <f>BQ31+BL32</f>
        <v>10220283.569999997</v>
      </c>
      <c r="BR32" s="8">
        <f>BR29-SUM(BR30:BR31)</f>
        <v>0</v>
      </c>
      <c r="BS32" s="8">
        <f>BS29-SUM(BS30:BS31)</f>
        <v>0</v>
      </c>
      <c r="BT32" s="8">
        <f>BT31+BT33</f>
        <v>10220283.570000006</v>
      </c>
      <c r="BU32" s="8" t="e">
        <f>BU29-SUM(BV30:BV31)</f>
        <v>#REF!</v>
      </c>
      <c r="BV32" s="8" t="e">
        <f>BV29-SUM(#REF!)</f>
        <v>#REF!</v>
      </c>
      <c r="IP32" s="3"/>
      <c r="IQ32" s="3"/>
      <c r="IR32" s="3"/>
      <c r="IS32" s="3"/>
      <c r="IT32" s="3"/>
    </row>
    <row r="33" spans="1:254" s="24" customFormat="1" ht="12.75" customHeight="1" x14ac:dyDescent="0.2">
      <c r="A33" s="48" t="s">
        <v>35</v>
      </c>
      <c r="B33" s="45">
        <v>9963392.4199999999</v>
      </c>
      <c r="C33" s="43"/>
      <c r="D33" s="43"/>
      <c r="E33" s="43">
        <f>B33</f>
        <v>9963392.4199999999</v>
      </c>
      <c r="F33" s="43">
        <v>2992900</v>
      </c>
      <c r="G33" s="43">
        <f>E33-F33</f>
        <v>6970492.4199999999</v>
      </c>
      <c r="H33" s="43"/>
      <c r="I33" s="43"/>
      <c r="J33" s="43">
        <f>G33</f>
        <v>6970492.4199999999</v>
      </c>
      <c r="K33" s="43">
        <v>342600</v>
      </c>
      <c r="L33" s="43"/>
      <c r="M33" s="43">
        <f>F33+K33</f>
        <v>3335500</v>
      </c>
      <c r="N33" s="49"/>
      <c r="O33" s="49"/>
      <c r="P33" s="43">
        <f>B33-M33</f>
        <v>6627892.4199999999</v>
      </c>
      <c r="Q33" s="43"/>
      <c r="R33" s="43">
        <f>L33-Q33</f>
        <v>0</v>
      </c>
      <c r="S33" s="43"/>
      <c r="T33" s="43"/>
      <c r="U33" s="43">
        <f>R33</f>
        <v>0</v>
      </c>
      <c r="V33" s="43"/>
      <c r="W33" s="43">
        <f>U33-V33</f>
        <v>0</v>
      </c>
      <c r="X33" s="43">
        <f>Q33+V33</f>
        <v>0</v>
      </c>
      <c r="Y33" s="45"/>
      <c r="Z33" s="43"/>
      <c r="AA33" s="43"/>
      <c r="AB33" s="43">
        <f>W33</f>
        <v>0</v>
      </c>
      <c r="AC33" s="43"/>
      <c r="AD33" s="43">
        <f>W33-AC33</f>
        <v>0</v>
      </c>
      <c r="AE33" s="43"/>
      <c r="AF33" s="43"/>
      <c r="AG33" s="43">
        <f>AD33</f>
        <v>0</v>
      </c>
      <c r="AH33" s="43"/>
      <c r="AI33" s="43">
        <f>AD33-AH33</f>
        <v>0</v>
      </c>
      <c r="AJ33" s="43">
        <f>AC33+AH33</f>
        <v>0</v>
      </c>
      <c r="AK33" s="43"/>
      <c r="AL33" s="43"/>
      <c r="AM33" s="43"/>
      <c r="AN33" s="43">
        <f>AI33</f>
        <v>0</v>
      </c>
      <c r="AO33" s="43"/>
      <c r="AP33" s="43">
        <f>AI33-AO33</f>
        <v>0</v>
      </c>
      <c r="AQ33" s="43"/>
      <c r="AR33" s="43"/>
      <c r="AS33" s="43"/>
      <c r="AT33" s="43"/>
      <c r="AU33" s="43">
        <v>0</v>
      </c>
      <c r="AV33" s="43">
        <v>0</v>
      </c>
      <c r="AW33" s="43"/>
      <c r="AX33" s="43"/>
      <c r="AY33" s="43"/>
      <c r="AZ33" s="43">
        <f>AP33</f>
        <v>0</v>
      </c>
      <c r="BA33" s="43"/>
      <c r="BB33" s="43">
        <f>AZ33-BA33</f>
        <v>0</v>
      </c>
      <c r="BC33" s="43"/>
      <c r="BD33" s="43"/>
      <c r="BE33" s="43">
        <f>BB33</f>
        <v>0</v>
      </c>
      <c r="BF33" s="43"/>
      <c r="BG33" s="43">
        <f>BB33</f>
        <v>0</v>
      </c>
      <c r="BH33" s="43">
        <v>0</v>
      </c>
      <c r="BI33" s="43"/>
      <c r="BJ33" s="43"/>
      <c r="BK33" s="43"/>
      <c r="BL33" s="43">
        <f>BG33</f>
        <v>0</v>
      </c>
      <c r="BM33" s="43"/>
      <c r="BN33" s="43"/>
      <c r="BO33" s="43"/>
      <c r="BP33" s="43"/>
      <c r="BQ33" s="43"/>
      <c r="BR33" s="43"/>
      <c r="BS33" s="43"/>
      <c r="BT33" s="43">
        <f>B33</f>
        <v>9963392.4199999999</v>
      </c>
      <c r="BU33" s="8"/>
      <c r="BV33" s="8"/>
      <c r="IP33" s="3"/>
      <c r="IQ33" s="3"/>
      <c r="IR33" s="3"/>
      <c r="IS33" s="3"/>
      <c r="IT33" s="3"/>
    </row>
    <row r="34" spans="1:254" ht="12.75" customHeight="1" x14ac:dyDescent="0.2">
      <c r="G34" s="24"/>
      <c r="H34" s="20"/>
      <c r="I34" s="20"/>
      <c r="K34" s="24"/>
      <c r="N34" s="19"/>
      <c r="O34" s="19"/>
      <c r="P34" s="24"/>
      <c r="Q34" s="16"/>
      <c r="R34" s="20"/>
      <c r="S34" s="20"/>
      <c r="T34" s="20"/>
      <c r="V34" s="24"/>
      <c r="W34" s="24"/>
      <c r="X34" s="24"/>
      <c r="AB34" s="16"/>
      <c r="AD34" s="20"/>
      <c r="AE34" s="20"/>
      <c r="AF34" s="20"/>
      <c r="AH34" s="24"/>
      <c r="AJ34" s="20"/>
      <c r="AK34" s="20"/>
      <c r="AL34" s="20"/>
      <c r="AN34" s="16"/>
      <c r="AO34" s="24"/>
      <c r="AR34" s="20"/>
      <c r="AT34" s="24"/>
      <c r="AV34" s="20"/>
      <c r="AW34" s="20"/>
      <c r="AX34" s="20"/>
      <c r="AZ34" s="24"/>
      <c r="BA34" s="24"/>
      <c r="BB34" s="24"/>
      <c r="BC34" s="24"/>
      <c r="BG34" s="20"/>
      <c r="BH34" s="20"/>
      <c r="BI34" s="20"/>
      <c r="BJ34" s="20"/>
      <c r="BL34" s="16"/>
      <c r="BM34" s="24"/>
      <c r="BN34" s="24"/>
      <c r="BO34" s="24"/>
      <c r="BT34" s="16"/>
      <c r="BU34" s="16"/>
      <c r="BV34" s="19"/>
      <c r="BW34" s="2"/>
      <c r="IP34" s="3"/>
      <c r="IQ34" s="3"/>
      <c r="IR34" s="3"/>
      <c r="IS34" s="3"/>
    </row>
    <row r="35" spans="1:254" s="2" customFormat="1" ht="12.75" customHeight="1" x14ac:dyDescent="0.2">
      <c r="A35" s="55" t="s">
        <v>34</v>
      </c>
      <c r="B35" s="55"/>
      <c r="C35" s="53" t="s">
        <v>2</v>
      </c>
      <c r="D35" s="53"/>
      <c r="E35" s="53"/>
      <c r="F35" s="53"/>
      <c r="G35" s="34"/>
      <c r="H35" s="53" t="s">
        <v>3</v>
      </c>
      <c r="I35" s="53"/>
      <c r="J35" s="53"/>
      <c r="K35" s="53"/>
      <c r="L35" s="53"/>
      <c r="M35" s="54" t="s">
        <v>4</v>
      </c>
      <c r="N35" s="53" t="s">
        <v>5</v>
      </c>
      <c r="O35" s="53"/>
      <c r="P35" s="53"/>
      <c r="Q35" s="53"/>
      <c r="R35" s="53"/>
      <c r="S35" s="53" t="s">
        <v>6</v>
      </c>
      <c r="T35" s="53"/>
      <c r="U35" s="53"/>
      <c r="V35" s="53"/>
      <c r="W35" s="53"/>
      <c r="X35" s="54" t="s">
        <v>7</v>
      </c>
      <c r="Y35" s="54" t="s">
        <v>8</v>
      </c>
      <c r="Z35" s="53" t="s">
        <v>9</v>
      </c>
      <c r="AA35" s="53"/>
      <c r="AB35" s="53"/>
      <c r="AC35" s="53"/>
      <c r="AD35" s="53"/>
      <c r="AE35" s="53" t="s">
        <v>10</v>
      </c>
      <c r="AF35" s="53"/>
      <c r="AG35" s="53"/>
      <c r="AH35" s="53"/>
      <c r="AI35" s="53"/>
      <c r="AJ35" s="54" t="s">
        <v>11</v>
      </c>
      <c r="AK35" s="54" t="s">
        <v>8</v>
      </c>
      <c r="AL35" s="53" t="s">
        <v>12</v>
      </c>
      <c r="AM35" s="53"/>
      <c r="AN35" s="53"/>
      <c r="AO35" s="53"/>
      <c r="AP35" s="53"/>
      <c r="AQ35" s="53" t="s">
        <v>13</v>
      </c>
      <c r="AR35" s="53"/>
      <c r="AS35" s="53"/>
      <c r="AT35" s="53"/>
      <c r="AU35" s="53"/>
      <c r="AV35" s="54" t="s">
        <v>14</v>
      </c>
      <c r="AW35" s="54" t="s">
        <v>8</v>
      </c>
      <c r="AX35" s="53" t="s">
        <v>15</v>
      </c>
      <c r="AY35" s="53"/>
      <c r="AZ35" s="53"/>
      <c r="BA35" s="53"/>
      <c r="BB35" s="53"/>
      <c r="BC35" s="53" t="s">
        <v>16</v>
      </c>
      <c r="BD35" s="53"/>
      <c r="BE35" s="53"/>
      <c r="BF35" s="53"/>
      <c r="BG35" s="53"/>
      <c r="BH35" s="54" t="s">
        <v>17</v>
      </c>
      <c r="BI35" s="54" t="s">
        <v>8</v>
      </c>
      <c r="BJ35" s="53" t="s">
        <v>18</v>
      </c>
      <c r="BK35" s="53"/>
      <c r="BL35" s="53"/>
      <c r="BM35" s="53"/>
      <c r="BN35" s="53"/>
      <c r="BO35" s="53" t="s">
        <v>19</v>
      </c>
      <c r="BP35" s="53"/>
      <c r="BQ35" s="53"/>
      <c r="BR35" s="53"/>
      <c r="BS35" s="53"/>
      <c r="BT35" s="36" t="s">
        <v>20</v>
      </c>
      <c r="BU35" s="30"/>
      <c r="BV35" s="31"/>
      <c r="IP35" s="3"/>
      <c r="IQ35" s="3"/>
      <c r="IR35" s="3"/>
      <c r="IS35" s="3"/>
      <c r="IT35" s="3"/>
    </row>
    <row r="36" spans="1:254" s="2" customFormat="1" ht="12.75" customHeight="1" x14ac:dyDescent="0.2">
      <c r="A36" s="55"/>
      <c r="B36" s="55"/>
      <c r="C36" s="53" t="s">
        <v>21</v>
      </c>
      <c r="D36" s="53"/>
      <c r="E36" s="53" t="s">
        <v>22</v>
      </c>
      <c r="F36" s="53"/>
      <c r="G36" s="53" t="s">
        <v>23</v>
      </c>
      <c r="H36" s="53" t="s">
        <v>21</v>
      </c>
      <c r="I36" s="53"/>
      <c r="J36" s="53" t="s">
        <v>22</v>
      </c>
      <c r="K36" s="53"/>
      <c r="L36" s="53" t="s">
        <v>23</v>
      </c>
      <c r="M36" s="54"/>
      <c r="N36" s="53" t="s">
        <v>21</v>
      </c>
      <c r="O36" s="53"/>
      <c r="P36" s="53" t="s">
        <v>22</v>
      </c>
      <c r="Q36" s="53"/>
      <c r="R36" s="53" t="s">
        <v>23</v>
      </c>
      <c r="S36" s="53" t="s">
        <v>21</v>
      </c>
      <c r="T36" s="53"/>
      <c r="U36" s="53" t="s">
        <v>22</v>
      </c>
      <c r="V36" s="53"/>
      <c r="W36" s="53" t="s">
        <v>23</v>
      </c>
      <c r="X36" s="54"/>
      <c r="Y36" s="54"/>
      <c r="Z36" s="53" t="s">
        <v>21</v>
      </c>
      <c r="AA36" s="53"/>
      <c r="AB36" s="53" t="s">
        <v>22</v>
      </c>
      <c r="AC36" s="53"/>
      <c r="AD36" s="53" t="s">
        <v>23</v>
      </c>
      <c r="AE36" s="53" t="s">
        <v>21</v>
      </c>
      <c r="AF36" s="53"/>
      <c r="AG36" s="53" t="s">
        <v>22</v>
      </c>
      <c r="AH36" s="53"/>
      <c r="AI36" s="53" t="s">
        <v>23</v>
      </c>
      <c r="AJ36" s="54"/>
      <c r="AK36" s="54"/>
      <c r="AL36" s="53" t="s">
        <v>21</v>
      </c>
      <c r="AM36" s="53"/>
      <c r="AN36" s="53" t="s">
        <v>22</v>
      </c>
      <c r="AO36" s="53"/>
      <c r="AP36" s="53" t="s">
        <v>23</v>
      </c>
      <c r="AQ36" s="53" t="s">
        <v>21</v>
      </c>
      <c r="AR36" s="53"/>
      <c r="AS36" s="53" t="s">
        <v>22</v>
      </c>
      <c r="AT36" s="53"/>
      <c r="AU36" s="53" t="s">
        <v>23</v>
      </c>
      <c r="AV36" s="54"/>
      <c r="AW36" s="54"/>
      <c r="AX36" s="53" t="s">
        <v>21</v>
      </c>
      <c r="AY36" s="53"/>
      <c r="AZ36" s="53" t="s">
        <v>22</v>
      </c>
      <c r="BA36" s="53"/>
      <c r="BB36" s="53" t="s">
        <v>23</v>
      </c>
      <c r="BC36" s="53" t="s">
        <v>21</v>
      </c>
      <c r="BD36" s="53"/>
      <c r="BE36" s="53" t="s">
        <v>22</v>
      </c>
      <c r="BF36" s="53"/>
      <c r="BG36" s="53" t="s">
        <v>23</v>
      </c>
      <c r="BH36" s="54"/>
      <c r="BI36" s="54"/>
      <c r="BJ36" s="53" t="s">
        <v>21</v>
      </c>
      <c r="BK36" s="53"/>
      <c r="BL36" s="53" t="s">
        <v>22</v>
      </c>
      <c r="BM36" s="53"/>
      <c r="BN36" s="53"/>
      <c r="BO36" s="53" t="s">
        <v>21</v>
      </c>
      <c r="BP36" s="53"/>
      <c r="BQ36" s="53" t="s">
        <v>22</v>
      </c>
      <c r="BR36" s="53"/>
      <c r="BS36" s="53"/>
      <c r="BT36" s="53" t="s">
        <v>24</v>
      </c>
      <c r="BU36" s="32"/>
      <c r="BV36" s="33"/>
      <c r="IP36" s="3"/>
      <c r="IQ36" s="3"/>
      <c r="IR36" s="3"/>
      <c r="IS36" s="3"/>
      <c r="IT36" s="3"/>
    </row>
    <row r="37" spans="1:254" s="2" customFormat="1" ht="12.75" customHeight="1" x14ac:dyDescent="0.2">
      <c r="A37" s="55"/>
      <c r="B37" s="55"/>
      <c r="C37" s="34" t="s">
        <v>24</v>
      </c>
      <c r="D37" s="34" t="s">
        <v>25</v>
      </c>
      <c r="E37" s="34" t="s">
        <v>24</v>
      </c>
      <c r="F37" s="34" t="s">
        <v>25</v>
      </c>
      <c r="G37" s="53"/>
      <c r="H37" s="34" t="s">
        <v>24</v>
      </c>
      <c r="I37" s="34" t="s">
        <v>25</v>
      </c>
      <c r="J37" s="34" t="s">
        <v>24</v>
      </c>
      <c r="K37" s="34" t="s">
        <v>25</v>
      </c>
      <c r="L37" s="53"/>
      <c r="M37" s="54"/>
      <c r="N37" s="34" t="s">
        <v>24</v>
      </c>
      <c r="O37" s="34" t="s">
        <v>25</v>
      </c>
      <c r="P37" s="34" t="s">
        <v>24</v>
      </c>
      <c r="Q37" s="34" t="s">
        <v>25</v>
      </c>
      <c r="R37" s="53"/>
      <c r="S37" s="34" t="s">
        <v>24</v>
      </c>
      <c r="T37" s="34" t="s">
        <v>25</v>
      </c>
      <c r="U37" s="34" t="s">
        <v>24</v>
      </c>
      <c r="V37" s="34" t="s">
        <v>25</v>
      </c>
      <c r="W37" s="53"/>
      <c r="X37" s="54"/>
      <c r="Y37" s="54"/>
      <c r="Z37" s="34" t="s">
        <v>24</v>
      </c>
      <c r="AA37" s="34" t="s">
        <v>25</v>
      </c>
      <c r="AB37" s="34" t="s">
        <v>24</v>
      </c>
      <c r="AC37" s="34" t="s">
        <v>25</v>
      </c>
      <c r="AD37" s="53"/>
      <c r="AE37" s="34" t="s">
        <v>24</v>
      </c>
      <c r="AF37" s="34" t="s">
        <v>25</v>
      </c>
      <c r="AG37" s="34" t="s">
        <v>24</v>
      </c>
      <c r="AH37" s="34" t="s">
        <v>25</v>
      </c>
      <c r="AI37" s="53"/>
      <c r="AJ37" s="54"/>
      <c r="AK37" s="54"/>
      <c r="AL37" s="34" t="s">
        <v>24</v>
      </c>
      <c r="AM37" s="34" t="s">
        <v>25</v>
      </c>
      <c r="AN37" s="34" t="s">
        <v>24</v>
      </c>
      <c r="AO37" s="34" t="s">
        <v>25</v>
      </c>
      <c r="AP37" s="53"/>
      <c r="AQ37" s="34" t="s">
        <v>24</v>
      </c>
      <c r="AR37" s="34" t="s">
        <v>25</v>
      </c>
      <c r="AS37" s="34" t="s">
        <v>24</v>
      </c>
      <c r="AT37" s="34" t="s">
        <v>25</v>
      </c>
      <c r="AU37" s="53"/>
      <c r="AV37" s="54"/>
      <c r="AW37" s="54"/>
      <c r="AX37" s="34" t="s">
        <v>24</v>
      </c>
      <c r="AY37" s="34" t="s">
        <v>25</v>
      </c>
      <c r="AZ37" s="34" t="s">
        <v>24</v>
      </c>
      <c r="BA37" s="34" t="s">
        <v>25</v>
      </c>
      <c r="BB37" s="53"/>
      <c r="BC37" s="34" t="s">
        <v>24</v>
      </c>
      <c r="BD37" s="34" t="s">
        <v>25</v>
      </c>
      <c r="BE37" s="34" t="s">
        <v>24</v>
      </c>
      <c r="BF37" s="34" t="s">
        <v>25</v>
      </c>
      <c r="BG37" s="53"/>
      <c r="BH37" s="54"/>
      <c r="BI37" s="54"/>
      <c r="BJ37" s="34" t="s">
        <v>24</v>
      </c>
      <c r="BK37" s="34" t="s">
        <v>25</v>
      </c>
      <c r="BL37" s="34" t="s">
        <v>24</v>
      </c>
      <c r="BM37" s="34" t="s">
        <v>25</v>
      </c>
      <c r="BN37" s="4" t="s">
        <v>23</v>
      </c>
      <c r="BO37" s="34" t="s">
        <v>24</v>
      </c>
      <c r="BP37" s="34" t="s">
        <v>25</v>
      </c>
      <c r="BQ37" s="34" t="s">
        <v>24</v>
      </c>
      <c r="BR37" s="34" t="s">
        <v>25</v>
      </c>
      <c r="BS37" s="4" t="s">
        <v>23</v>
      </c>
      <c r="BT37" s="53"/>
      <c r="BU37" s="34" t="s">
        <v>25</v>
      </c>
      <c r="BV37" s="4" t="s">
        <v>23</v>
      </c>
      <c r="IP37" s="3"/>
      <c r="IQ37" s="3"/>
      <c r="IR37" s="3"/>
      <c r="IS37" s="3"/>
      <c r="IT37" s="3"/>
    </row>
    <row r="38" spans="1:254" s="24" customFormat="1" ht="12.75" customHeight="1" x14ac:dyDescent="0.2">
      <c r="A38" s="14" t="s">
        <v>32</v>
      </c>
      <c r="B38" s="9">
        <f>B47-B29</f>
        <v>350500355.30000001</v>
      </c>
      <c r="C38" s="8"/>
      <c r="D38" s="8"/>
      <c r="E38" s="8">
        <f>E47-E29</f>
        <v>55878993.279999994</v>
      </c>
      <c r="F38" s="8">
        <f>F47-F29</f>
        <v>32352771.48</v>
      </c>
      <c r="G38" s="8">
        <f>F38-E38</f>
        <v>-23526221.799999993</v>
      </c>
      <c r="H38" s="10"/>
      <c r="I38" s="10"/>
      <c r="J38" s="8">
        <f>J47-J29</f>
        <v>50108576.780000001</v>
      </c>
      <c r="K38" s="8">
        <f>K47-K29</f>
        <v>29233386.690000001</v>
      </c>
      <c r="L38" s="8">
        <f>K38-J38</f>
        <v>-20875190.09</v>
      </c>
      <c r="M38" s="8">
        <f>F38+K38</f>
        <v>61586158.170000002</v>
      </c>
      <c r="N38" s="11"/>
      <c r="O38" s="11"/>
      <c r="P38" s="8">
        <f>P47-P29</f>
        <v>49034958.540000007</v>
      </c>
      <c r="Q38" s="8">
        <f>Q47-Q29</f>
        <v>26850644.190000001</v>
      </c>
      <c r="R38" s="8">
        <f>Q38-P38</f>
        <v>-22184314.350000005</v>
      </c>
      <c r="S38" s="10"/>
      <c r="T38" s="10"/>
      <c r="U38" s="8">
        <f>U47-U29</f>
        <v>52763440.49000001</v>
      </c>
      <c r="V38" s="8">
        <f>V47-V29</f>
        <v>30613913.309999999</v>
      </c>
      <c r="W38" s="8">
        <f>V38-U38</f>
        <v>-22149527.180000011</v>
      </c>
      <c r="X38" s="8">
        <f>Q38+V38</f>
        <v>57464557.5</v>
      </c>
      <c r="Y38" s="9">
        <f>M38+X38</f>
        <v>119050715.67</v>
      </c>
      <c r="Z38" s="8"/>
      <c r="AA38" s="8"/>
      <c r="AB38" s="8">
        <f>AB47-AB29</f>
        <v>56056901.090000004</v>
      </c>
      <c r="AC38" s="8">
        <f>AC47-AC29</f>
        <v>30318033.410000004</v>
      </c>
      <c r="AD38" s="8">
        <f>AC38-AB38</f>
        <v>-25738867.68</v>
      </c>
      <c r="AE38" s="8"/>
      <c r="AF38" s="8"/>
      <c r="AG38" s="8">
        <f>AG47-AG29</f>
        <v>50651030.939999998</v>
      </c>
      <c r="AH38" s="8">
        <f>AH47-AH29</f>
        <v>22093834.84</v>
      </c>
      <c r="AI38" s="8">
        <f>AH38-AG38</f>
        <v>-28557196.099999998</v>
      </c>
      <c r="AJ38" s="8">
        <f>AC38+AH38</f>
        <v>52411868.25</v>
      </c>
      <c r="AK38" s="8">
        <f>Y38+AJ38</f>
        <v>171462583.92000002</v>
      </c>
      <c r="AL38" s="10"/>
      <c r="AM38" s="10"/>
      <c r="AN38" s="8">
        <f>AN47-AN29</f>
        <v>57759861.469999999</v>
      </c>
      <c r="AO38" s="8">
        <f>AO47-AO29</f>
        <v>25927079.399999999</v>
      </c>
      <c r="AP38" s="8">
        <f>AO38-AN38</f>
        <v>-31832782.07</v>
      </c>
      <c r="AQ38" s="10"/>
      <c r="AR38" s="10"/>
      <c r="AS38" s="8">
        <f>AS47-AS29</f>
        <v>56173469.300000004</v>
      </c>
      <c r="AT38" s="8">
        <f>AT47-AT29</f>
        <v>22526234.490000002</v>
      </c>
      <c r="AU38" s="8">
        <f>AT38-AS38</f>
        <v>-33647234.810000002</v>
      </c>
      <c r="AV38" s="8">
        <f>AO38+AT38</f>
        <v>48453313.890000001</v>
      </c>
      <c r="AW38" s="10">
        <f>AK38+AV38</f>
        <v>219915897.81</v>
      </c>
      <c r="AX38" s="10"/>
      <c r="AY38" s="10"/>
      <c r="AZ38" s="8">
        <f>AZ47-AZ29</f>
        <v>61469754.299999997</v>
      </c>
      <c r="BA38" s="8">
        <f>BA47-BA29</f>
        <v>21890715.41</v>
      </c>
      <c r="BB38" s="8">
        <f>BA38-AZ38</f>
        <v>-39579038.890000001</v>
      </c>
      <c r="BC38" s="10"/>
      <c r="BD38" s="10"/>
      <c r="BE38" s="8">
        <f>BE47-BE29</f>
        <v>65770086.229999989</v>
      </c>
      <c r="BF38" s="8">
        <f>BF47-BF29</f>
        <v>24183718.289999999</v>
      </c>
      <c r="BG38" s="8">
        <f>BF38-BE38</f>
        <v>-41586367.93999999</v>
      </c>
      <c r="BH38" s="8">
        <f>BA38+BF38</f>
        <v>46074433.700000003</v>
      </c>
      <c r="BI38" s="10">
        <f>AW38+BH38</f>
        <v>265990331.50999999</v>
      </c>
      <c r="BJ38" s="10"/>
      <c r="BK38" s="10"/>
      <c r="BL38" s="8">
        <f>BL47-BL29</f>
        <v>75589108.429999977</v>
      </c>
      <c r="BM38" s="8"/>
      <c r="BN38" s="10"/>
      <c r="BO38" s="10"/>
      <c r="BP38" s="10"/>
      <c r="BQ38" s="8">
        <f>BQ47-BQ29</f>
        <v>41988190.170000002</v>
      </c>
      <c r="BR38" s="8"/>
      <c r="BS38" s="10"/>
      <c r="BT38" s="8">
        <f>SUM(M38+X38+AJ38+AV38+BH38+BL38+BQ38)</f>
        <v>383567630.10999995</v>
      </c>
      <c r="BU38" s="9" t="e">
        <f>#REF!+K38+Q38+V38+AC38+AH38+AO38+AT38+BA38+BF38+BM38+BR38</f>
        <v>#REF!</v>
      </c>
      <c r="BV38" s="11" t="e">
        <f>BT38-BU38</f>
        <v>#REF!</v>
      </c>
      <c r="IP38" s="3"/>
      <c r="IQ38" s="3"/>
      <c r="IR38" s="3"/>
      <c r="IS38" s="3"/>
      <c r="IT38" s="3"/>
    </row>
    <row r="39" spans="1:254" s="24" customFormat="1" ht="13.5" customHeight="1" x14ac:dyDescent="0.2">
      <c r="A39" s="14" t="s">
        <v>33</v>
      </c>
      <c r="B39" s="9">
        <f>B38</f>
        <v>350500355.30000001</v>
      </c>
      <c r="C39" s="8"/>
      <c r="D39" s="8"/>
      <c r="E39" s="8">
        <f>E48-E30</f>
        <v>52117375.61999999</v>
      </c>
      <c r="F39" s="8">
        <f>F48-F30</f>
        <v>19342735.670000002</v>
      </c>
      <c r="G39" s="8">
        <f>C39-D39+E39-F39</f>
        <v>32774639.949999988</v>
      </c>
      <c r="H39" s="8"/>
      <c r="I39" s="8"/>
      <c r="J39" s="8">
        <f>J48-J30</f>
        <v>63119367.400000006</v>
      </c>
      <c r="K39" s="8">
        <f>K23-K30</f>
        <v>19148591.669999998</v>
      </c>
      <c r="L39" s="8">
        <f>SUM(H39-I39,J39-K39)</f>
        <v>43970775.730000004</v>
      </c>
      <c r="M39" s="8">
        <f>D39+F39+I39+K39</f>
        <v>38491327.340000004</v>
      </c>
      <c r="N39" s="8"/>
      <c r="O39" s="8"/>
      <c r="P39" s="8">
        <f>P48-P30</f>
        <v>78645632.310000002</v>
      </c>
      <c r="Q39" s="8">
        <f>Q23-Q30</f>
        <v>26296348.580000006</v>
      </c>
      <c r="R39" s="8">
        <f>SUM(N39-O39,P39-Q39)</f>
        <v>52349283.729999997</v>
      </c>
      <c r="S39" s="8"/>
      <c r="T39" s="8"/>
      <c r="U39" s="8">
        <f>U23-U30</f>
        <v>81862739.219999999</v>
      </c>
      <c r="V39" s="8">
        <f>V23-V30</f>
        <v>26640166.850000001</v>
      </c>
      <c r="W39" s="8">
        <f>SUM(S39-T39,U39-V39)</f>
        <v>55222572.369999997</v>
      </c>
      <c r="X39" s="8">
        <f>N39+Q39+S39+V39</f>
        <v>52936515.430000007</v>
      </c>
      <c r="Y39" s="8">
        <f>M39+X39</f>
        <v>91427842.770000011</v>
      </c>
      <c r="Z39" s="8"/>
      <c r="AA39" s="8"/>
      <c r="AB39" s="8">
        <f>AB48-AB30</f>
        <v>90811889.290000007</v>
      </c>
      <c r="AC39" s="8">
        <f>AC48-AC30</f>
        <v>26667672.439999998</v>
      </c>
      <c r="AD39" s="8">
        <f>Z39-AA39+AB39-AC39</f>
        <v>64144216.850000009</v>
      </c>
      <c r="AE39" s="8"/>
      <c r="AF39" s="8"/>
      <c r="AG39" s="8">
        <f>AG48-AG30</f>
        <v>96637291.170000032</v>
      </c>
      <c r="AH39" s="8">
        <f>AH48-AH30</f>
        <v>25745326.400000002</v>
      </c>
      <c r="AI39" s="8">
        <f>AE39-AF39+AG39-AH39</f>
        <v>70891964.770000026</v>
      </c>
      <c r="AJ39" s="8">
        <f>Z39+AC39+AE39+AH39</f>
        <v>52412998.840000004</v>
      </c>
      <c r="AK39" s="8">
        <f>Y39+AJ39</f>
        <v>143840841.61000001</v>
      </c>
      <c r="AL39" s="8"/>
      <c r="AM39" s="8"/>
      <c r="AN39" s="8">
        <f>AN48-AN30</f>
        <v>105343297.34999999</v>
      </c>
      <c r="AO39" s="8">
        <f>AO48-AO30</f>
        <v>28644199.929999992</v>
      </c>
      <c r="AP39" s="8">
        <f>AL39-AM39+AN39-AO39</f>
        <v>76699097.420000002</v>
      </c>
      <c r="AQ39" s="8"/>
      <c r="AR39" s="8"/>
      <c r="AS39" s="8">
        <f>AS48-AS30</f>
        <v>117186787.43999998</v>
      </c>
      <c r="AT39" s="8">
        <f>AT48-AT30</f>
        <v>28024667.829999998</v>
      </c>
      <c r="AU39" s="8">
        <f>AQ39-AR39+AS39-AT39</f>
        <v>89162119.609999985</v>
      </c>
      <c r="AV39" s="8">
        <f>AO39+AT39</f>
        <v>56668867.75999999</v>
      </c>
      <c r="AW39" s="9">
        <f>AK39+AV39</f>
        <v>200509709.37</v>
      </c>
      <c r="AX39" s="8"/>
      <c r="AY39" s="8"/>
      <c r="AZ39" s="8">
        <f>AZ48-AZ30</f>
        <v>127071303.25999999</v>
      </c>
      <c r="BA39" s="8">
        <f>BA23-BA30</f>
        <v>26929744.169999998</v>
      </c>
      <c r="BB39" s="8">
        <f>AX39-AY39+AZ39-BA39</f>
        <v>100141559.08999999</v>
      </c>
      <c r="BC39" s="8"/>
      <c r="BD39" s="8"/>
      <c r="BE39" s="8">
        <f>BE48-BE30</f>
        <v>132369415.05</v>
      </c>
      <c r="BF39" s="8">
        <f>BF23-BF30</f>
        <v>27064648.359999999</v>
      </c>
      <c r="BG39" s="8">
        <f>BC39-BD39+BE39-BF39</f>
        <v>105304766.69</v>
      </c>
      <c r="BH39" s="8">
        <f>AX39+BA39+BC39+BF39</f>
        <v>53994392.530000001</v>
      </c>
      <c r="BI39" s="9">
        <f>AW39+BH39</f>
        <v>254504101.90000001</v>
      </c>
      <c r="BJ39" s="8"/>
      <c r="BK39" s="8"/>
      <c r="BL39" s="8">
        <f>BL48-BL30</f>
        <v>135076711.56</v>
      </c>
      <c r="BM39" s="8"/>
      <c r="BN39" s="8" t="e">
        <f>#REF!</f>
        <v>#REF!</v>
      </c>
      <c r="BO39" s="8"/>
      <c r="BP39" s="8"/>
      <c r="BQ39" s="8">
        <f>BQ48-BQ30</f>
        <v>42862824.929999992</v>
      </c>
      <c r="BR39" s="9"/>
      <c r="BS39" s="9" t="e">
        <f>#REF!</f>
        <v>#REF!</v>
      </c>
      <c r="BT39" s="8">
        <f>SUM(M39+X39+AJ39+AV39+BH39+BJ39+BL39+BO39+BQ39)</f>
        <v>432443638.39000005</v>
      </c>
      <c r="BU39" s="8" t="e">
        <f>#REF!-#REF!</f>
        <v>#REF!</v>
      </c>
      <c r="BV39" s="8" t="e">
        <f>#REF!-#REF!</f>
        <v>#REF!</v>
      </c>
      <c r="IP39" s="3"/>
      <c r="IQ39" s="3"/>
      <c r="IR39" s="3"/>
      <c r="IS39" s="3"/>
      <c r="IT39" s="3"/>
    </row>
    <row r="40" spans="1:254" s="24" customFormat="1" ht="17.25" customHeight="1" x14ac:dyDescent="0.2">
      <c r="A40" s="14" t="s">
        <v>53</v>
      </c>
      <c r="B40" s="9"/>
      <c r="C40" s="8"/>
      <c r="D40" s="8"/>
      <c r="E40" s="8">
        <f>E38-E39-C39</f>
        <v>3761617.6600000039</v>
      </c>
      <c r="F40" s="8">
        <f>F38-D39-F39</f>
        <v>13010035.809999999</v>
      </c>
      <c r="G40" s="8"/>
      <c r="H40" s="8"/>
      <c r="I40" s="8"/>
      <c r="J40" s="8">
        <f>J38-J39-I39</f>
        <v>-13010790.620000005</v>
      </c>
      <c r="K40" s="8">
        <f>K38-I39-K39</f>
        <v>10084795.020000003</v>
      </c>
      <c r="L40" s="8"/>
      <c r="M40" s="8">
        <f>M38-M39</f>
        <v>23094830.829999998</v>
      </c>
      <c r="N40" s="8"/>
      <c r="O40" s="8"/>
      <c r="P40" s="8">
        <f>P38-P39</f>
        <v>-29610673.769999996</v>
      </c>
      <c r="Q40" s="8">
        <f>Q38-Q39</f>
        <v>554295.60999999568</v>
      </c>
      <c r="R40" s="8"/>
      <c r="S40" s="8"/>
      <c r="T40" s="8"/>
      <c r="U40" s="8">
        <f>U38-U39</f>
        <v>-29099298.729999989</v>
      </c>
      <c r="V40" s="8">
        <f>V38-V39</f>
        <v>3973746.4599999972</v>
      </c>
      <c r="W40" s="8"/>
      <c r="X40" s="8">
        <f>X38-X39</f>
        <v>4528042.0699999928</v>
      </c>
      <c r="Y40" s="8"/>
      <c r="Z40" s="8"/>
      <c r="AA40" s="8"/>
      <c r="AB40" s="8">
        <f>AB38-AB39</f>
        <v>-34754988.200000003</v>
      </c>
      <c r="AC40" s="8">
        <f>AC38-AC39</f>
        <v>3650360.9700000063</v>
      </c>
      <c r="AD40" s="8"/>
      <c r="AE40" s="8"/>
      <c r="AF40" s="8"/>
      <c r="AG40" s="8">
        <f>AG38-AG39</f>
        <v>-45986260.230000034</v>
      </c>
      <c r="AH40" s="8">
        <f>AH38-AH39</f>
        <v>-3651491.5600000024</v>
      </c>
      <c r="AI40" s="8"/>
      <c r="AJ40" s="8">
        <f>AJ38-AJ39</f>
        <v>-1130.5900000035763</v>
      </c>
      <c r="AK40" s="8"/>
      <c r="AL40" s="8"/>
      <c r="AM40" s="8"/>
      <c r="AN40" s="8">
        <f>AN38-AN39</f>
        <v>-47583435.879999995</v>
      </c>
      <c r="AO40" s="8">
        <f>AO38-AO39</f>
        <v>-2717120.5299999937</v>
      </c>
      <c r="AP40" s="8"/>
      <c r="AQ40" s="8"/>
      <c r="AR40" s="8"/>
      <c r="AS40" s="8">
        <f>AS38-AS39</f>
        <v>-61013318.139999978</v>
      </c>
      <c r="AT40" s="8">
        <f>AT38-AT39</f>
        <v>-5498433.3399999961</v>
      </c>
      <c r="AU40" s="8"/>
      <c r="AV40" s="8">
        <f>AV38-AV39</f>
        <v>-8215553.8699999899</v>
      </c>
      <c r="AW40" s="9"/>
      <c r="AX40" s="8"/>
      <c r="AY40" s="8"/>
      <c r="AZ40" s="8">
        <f>AZ38-AZ39</f>
        <v>-65601548.959999993</v>
      </c>
      <c r="BA40" s="8">
        <f>BA38-BA39</f>
        <v>-5039028.7599999979</v>
      </c>
      <c r="BB40" s="8"/>
      <c r="BC40" s="8"/>
      <c r="BD40" s="8"/>
      <c r="BE40" s="8">
        <f>BE38-BE39</f>
        <v>-66599328.820000008</v>
      </c>
      <c r="BF40" s="8">
        <f>BF38-BF39</f>
        <v>-2880930.0700000003</v>
      </c>
      <c r="BG40" s="8"/>
      <c r="BH40" s="8">
        <f>BH38-BH39</f>
        <v>-7919958.8299999982</v>
      </c>
      <c r="BI40" s="9"/>
      <c r="BJ40" s="8"/>
      <c r="BK40" s="8"/>
      <c r="BL40" s="8">
        <f>BL38-BL39</f>
        <v>-59487603.130000025</v>
      </c>
      <c r="BM40" s="8"/>
      <c r="BN40" s="8"/>
      <c r="BO40" s="8"/>
      <c r="BP40" s="8"/>
      <c r="BQ40" s="8">
        <f>BQ38-BQ39</f>
        <v>-874634.75999999046</v>
      </c>
      <c r="BR40" s="9"/>
      <c r="BS40" s="9"/>
      <c r="BT40" s="8">
        <f>BT38-BT39</f>
        <v>-48876008.280000091</v>
      </c>
      <c r="BU40" s="8"/>
      <c r="BV40" s="8"/>
      <c r="IP40" s="3"/>
      <c r="IQ40" s="3"/>
      <c r="IR40" s="3"/>
      <c r="IS40" s="3"/>
      <c r="IT40" s="3"/>
    </row>
    <row r="41" spans="1:254" s="24" customFormat="1" ht="12.75" customHeight="1" x14ac:dyDescent="0.2">
      <c r="A41" s="14" t="s">
        <v>54</v>
      </c>
      <c r="B41" s="9">
        <f>B38+B42-B39</f>
        <v>62211057.480000019</v>
      </c>
      <c r="C41" s="8"/>
      <c r="D41" s="8"/>
      <c r="E41" s="8">
        <f>E40+B41</f>
        <v>65972675.140000023</v>
      </c>
      <c r="F41" s="8">
        <f>F40+B42</f>
        <v>75221093.290000007</v>
      </c>
      <c r="G41" s="8"/>
      <c r="H41" s="8"/>
      <c r="I41" s="8"/>
      <c r="J41" s="8">
        <f>J40+E41</f>
        <v>52961884.520000018</v>
      </c>
      <c r="K41" s="8">
        <f>K40+F41</f>
        <v>85305888.310000002</v>
      </c>
      <c r="L41" s="8"/>
      <c r="M41" s="8">
        <f>M40+B41</f>
        <v>85305888.310000017</v>
      </c>
      <c r="N41" s="10"/>
      <c r="O41" s="10"/>
      <c r="P41" s="8">
        <f>P40+K41</f>
        <v>55695214.540000007</v>
      </c>
      <c r="Q41" s="8">
        <f>Q40+M41</f>
        <v>85860183.920000017</v>
      </c>
      <c r="R41" s="8"/>
      <c r="S41" s="8"/>
      <c r="T41" s="8"/>
      <c r="U41" s="8">
        <f>U40+P41</f>
        <v>26595915.810000017</v>
      </c>
      <c r="V41" s="8">
        <f>V40+Q41</f>
        <v>89833930.38000001</v>
      </c>
      <c r="W41" s="8"/>
      <c r="X41" s="8">
        <f>X40+M41</f>
        <v>89833930.38000001</v>
      </c>
      <c r="Y41" s="8">
        <f>Y38+Y42+Y39</f>
        <v>219640261.61000001</v>
      </c>
      <c r="Z41" s="8"/>
      <c r="AA41" s="8"/>
      <c r="AB41" s="8">
        <f>AB40+V41</f>
        <v>55078942.180000007</v>
      </c>
      <c r="AC41" s="8">
        <f>AC40+V41</f>
        <v>93484291.350000024</v>
      </c>
      <c r="AD41" s="8"/>
      <c r="AE41" s="8"/>
      <c r="AF41" s="8"/>
      <c r="AG41" s="8">
        <f>AG40+AC41</f>
        <v>47498031.11999999</v>
      </c>
      <c r="AH41" s="8">
        <f>AH40+AC41</f>
        <v>89832799.790000021</v>
      </c>
      <c r="AI41" s="8"/>
      <c r="AJ41" s="8">
        <f>AJ40+X41</f>
        <v>89832799.790000007</v>
      </c>
      <c r="AK41" s="8" t="e">
        <f>AK38+AK42+AK39-#REF!-#REF!</f>
        <v>#REF!</v>
      </c>
      <c r="AL41" s="8"/>
      <c r="AM41" s="8"/>
      <c r="AN41" s="8">
        <f>AN40+AH41</f>
        <v>42249363.910000026</v>
      </c>
      <c r="AO41" s="8">
        <f>AO40+AH41</f>
        <v>87115679.26000002</v>
      </c>
      <c r="AP41" s="8"/>
      <c r="AQ41" s="8"/>
      <c r="AR41" s="8"/>
      <c r="AS41" s="8">
        <f>AS40+AO41</f>
        <v>26102361.120000042</v>
      </c>
      <c r="AT41" s="8">
        <f>AT40+AO41</f>
        <v>81617245.920000017</v>
      </c>
      <c r="AU41" s="8"/>
      <c r="AV41" s="8">
        <f>AV40+AJ41</f>
        <v>81617245.920000017</v>
      </c>
      <c r="AW41" s="8" t="e">
        <f>AW38+AW42+AW39-#REF!-#REF!</f>
        <v>#REF!</v>
      </c>
      <c r="AX41" s="8"/>
      <c r="AY41" s="8"/>
      <c r="AZ41" s="8">
        <f>AZ40+AV41</f>
        <v>16015696.960000023</v>
      </c>
      <c r="BA41" s="8">
        <f>BA40+AV41</f>
        <v>76578217.160000026</v>
      </c>
      <c r="BB41" s="8"/>
      <c r="BC41" s="8"/>
      <c r="BD41" s="8"/>
      <c r="BE41" s="8">
        <f>BE40+BA41</f>
        <v>9978888.3400000185</v>
      </c>
      <c r="BF41" s="8">
        <f>BF40+BA41</f>
        <v>73697287.090000033</v>
      </c>
      <c r="BG41" s="8"/>
      <c r="BH41" s="8">
        <f>BH40+AV41</f>
        <v>73697287.090000018</v>
      </c>
      <c r="BI41" s="8" t="e">
        <f>BI38+BI42+BI39-#REF!-#REF!</f>
        <v>#REF!</v>
      </c>
      <c r="BJ41" s="8"/>
      <c r="BK41" s="8"/>
      <c r="BL41" s="8">
        <f>BL40+BH41</f>
        <v>14209683.959999993</v>
      </c>
      <c r="BM41" s="8">
        <f>BM38-SUM(BM39:BM39)</f>
        <v>0</v>
      </c>
      <c r="BN41" s="8" t="e">
        <f>BN38-SUM(BN39:BN39)</f>
        <v>#REF!</v>
      </c>
      <c r="BO41" s="8"/>
      <c r="BP41" s="8"/>
      <c r="BQ41" s="8">
        <f>BQ40+BL41</f>
        <v>13335049.200000003</v>
      </c>
      <c r="BR41" s="8">
        <f>BR38-SUM(BR39:BR39)</f>
        <v>0</v>
      </c>
      <c r="BS41" s="8" t="e">
        <f>BS38-SUM(BS39:BS39)</f>
        <v>#REF!</v>
      </c>
      <c r="BT41" s="8">
        <f>BT40+BT42</f>
        <v>13335049.199999914</v>
      </c>
      <c r="BU41" s="8" t="e">
        <f>BU38-SUM(BV39:BV39)</f>
        <v>#REF!</v>
      </c>
      <c r="BV41" s="8" t="e">
        <f>BV38-SUM(#REF!)</f>
        <v>#REF!</v>
      </c>
      <c r="IP41" s="3"/>
      <c r="IQ41" s="3"/>
      <c r="IR41" s="3"/>
      <c r="IS41" s="3"/>
      <c r="IT41" s="3"/>
    </row>
    <row r="42" spans="1:254" s="24" customFormat="1" ht="12.75" customHeight="1" x14ac:dyDescent="0.2">
      <c r="A42" s="48" t="s">
        <v>35</v>
      </c>
      <c r="B42" s="45">
        <f>B51-B33</f>
        <v>62211057.480000004</v>
      </c>
      <c r="C42" s="43"/>
      <c r="D42" s="43"/>
      <c r="E42" s="43">
        <f>B42</f>
        <v>62211057.480000004</v>
      </c>
      <c r="F42" s="43">
        <f>F51-F33</f>
        <v>17285382.600000001</v>
      </c>
      <c r="G42" s="43">
        <f>E42-F42</f>
        <v>44925674.880000003</v>
      </c>
      <c r="H42" s="43"/>
      <c r="I42" s="43"/>
      <c r="J42" s="43">
        <f>G42</f>
        <v>44925674.880000003</v>
      </c>
      <c r="K42" s="43">
        <f>K51-K33</f>
        <v>1686855.03</v>
      </c>
      <c r="L42" s="43">
        <f>G42-K42</f>
        <v>43238819.850000001</v>
      </c>
      <c r="M42" s="43">
        <f>F42+K42</f>
        <v>18972237.630000003</v>
      </c>
      <c r="N42" s="49"/>
      <c r="O42" s="49"/>
      <c r="P42" s="43">
        <f>L42</f>
        <v>43238819.850000001</v>
      </c>
      <c r="Q42" s="43">
        <f>Q51-Q33</f>
        <v>2425602.23</v>
      </c>
      <c r="R42" s="43">
        <f>P42-Q42</f>
        <v>40813217.620000005</v>
      </c>
      <c r="S42" s="43"/>
      <c r="T42" s="43"/>
      <c r="U42" s="43">
        <f>R42</f>
        <v>40813217.620000005</v>
      </c>
      <c r="V42" s="43">
        <f>V51-V33</f>
        <v>6736100.9400000004</v>
      </c>
      <c r="W42" s="43">
        <f>R42-V42</f>
        <v>34077116.680000007</v>
      </c>
      <c r="X42" s="43">
        <f>Q42+V42</f>
        <v>9161703.1699999999</v>
      </c>
      <c r="Y42" s="45">
        <f>X42</f>
        <v>9161703.1699999999</v>
      </c>
      <c r="Z42" s="43"/>
      <c r="AA42" s="43"/>
      <c r="AB42" s="43">
        <f>W42</f>
        <v>34077116.680000007</v>
      </c>
      <c r="AC42" s="43">
        <f>AC51-AC33</f>
        <v>2376248.58</v>
      </c>
      <c r="AD42" s="43">
        <f>W42-AC42</f>
        <v>31700868.100000009</v>
      </c>
      <c r="AE42" s="43"/>
      <c r="AF42" s="43"/>
      <c r="AG42" s="43">
        <f>AD42</f>
        <v>31700868.100000009</v>
      </c>
      <c r="AH42" s="43">
        <f>AH51-AH33</f>
        <v>3062658.88</v>
      </c>
      <c r="AI42" s="43">
        <f>AG42-AH42</f>
        <v>28638209.22000001</v>
      </c>
      <c r="AJ42" s="43">
        <f>AC42+AH42</f>
        <v>5438907.46</v>
      </c>
      <c r="AK42" s="43">
        <f>Y42+AJ42</f>
        <v>14600610.629999999</v>
      </c>
      <c r="AL42" s="43"/>
      <c r="AM42" s="43"/>
      <c r="AN42" s="43">
        <f>AI42</f>
        <v>28638209.22000001</v>
      </c>
      <c r="AO42" s="43">
        <f>AO51-AO33</f>
        <v>1539320.98</v>
      </c>
      <c r="AP42" s="43">
        <f>AI42-AO42</f>
        <v>27098888.24000001</v>
      </c>
      <c r="AQ42" s="43"/>
      <c r="AR42" s="43"/>
      <c r="AS42" s="43">
        <f>AN42</f>
        <v>28638209.22000001</v>
      </c>
      <c r="AT42" s="43">
        <f>AT51</f>
        <v>7932388.5499999998</v>
      </c>
      <c r="AU42" s="43">
        <f>AS42-AT42</f>
        <v>20705820.670000009</v>
      </c>
      <c r="AV42" s="43">
        <f>AO42+AT42</f>
        <v>9471709.5299999993</v>
      </c>
      <c r="AW42" s="43">
        <f>AK42+AV42</f>
        <v>24072320.159999996</v>
      </c>
      <c r="AX42" s="43"/>
      <c r="AY42" s="43"/>
      <c r="AZ42" s="43">
        <f>AZ51-AZ33</f>
        <v>25794392.110000011</v>
      </c>
      <c r="BA42" s="43">
        <f>BA51</f>
        <v>1252850</v>
      </c>
      <c r="BB42" s="43">
        <f>AU42-BA42</f>
        <v>19452970.670000009</v>
      </c>
      <c r="BC42" s="43"/>
      <c r="BD42" s="43"/>
      <c r="BE42" s="43">
        <f>BB42</f>
        <v>19452970.670000009</v>
      </c>
      <c r="BF42" s="43">
        <f>BF51</f>
        <v>1453331.17</v>
      </c>
      <c r="BG42" s="43">
        <f>BE42-BF42</f>
        <v>17999639.500000007</v>
      </c>
      <c r="BH42" s="43">
        <f>BA42+BF42</f>
        <v>2706181.17</v>
      </c>
      <c r="BI42" s="43">
        <f>AW42+BH42</f>
        <v>26778501.329999998</v>
      </c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>
        <f>B42</f>
        <v>62211057.480000004</v>
      </c>
      <c r="BU42" s="9"/>
      <c r="BV42" s="11"/>
      <c r="IP42" s="3"/>
      <c r="IQ42" s="3"/>
      <c r="IR42" s="3"/>
      <c r="IS42" s="3"/>
      <c r="IT42" s="3"/>
    </row>
    <row r="43" spans="1:254" ht="12" customHeight="1" x14ac:dyDescent="0.2">
      <c r="G43" s="24"/>
      <c r="H43" s="20"/>
      <c r="K43" s="24"/>
      <c r="O43" s="19"/>
      <c r="P43" s="24"/>
      <c r="Q43" s="16"/>
      <c r="R43" s="20"/>
      <c r="S43" s="20"/>
      <c r="V43" s="24"/>
      <c r="W43" s="24"/>
      <c r="X43" s="24"/>
      <c r="AB43" s="16"/>
      <c r="AD43" s="20"/>
      <c r="AE43" s="20"/>
      <c r="AH43" s="24"/>
      <c r="AJ43" s="20"/>
      <c r="AL43" s="20"/>
      <c r="AN43" s="16"/>
      <c r="AO43" s="24"/>
      <c r="AT43" s="24"/>
      <c r="AV43" s="20"/>
      <c r="AX43" s="20"/>
      <c r="AZ43" s="16"/>
      <c r="BA43" s="24"/>
      <c r="BB43" s="24"/>
      <c r="BC43" s="24"/>
      <c r="BG43" s="20"/>
      <c r="BH43" s="20"/>
      <c r="BJ43" s="20"/>
      <c r="BL43" s="16"/>
      <c r="BM43" s="24"/>
      <c r="BN43" s="24"/>
      <c r="BO43" s="24"/>
      <c r="BT43" s="16"/>
      <c r="BV43" s="19"/>
      <c r="BW43" s="2"/>
      <c r="IP43" s="3"/>
      <c r="IQ43" s="3"/>
      <c r="IR43" s="3"/>
      <c r="IS43" s="3"/>
    </row>
    <row r="44" spans="1:254" s="2" customFormat="1" ht="12.75" customHeight="1" x14ac:dyDescent="0.2">
      <c r="A44" s="55" t="s">
        <v>36</v>
      </c>
      <c r="B44" s="55"/>
      <c r="C44" s="53" t="s">
        <v>2</v>
      </c>
      <c r="D44" s="53"/>
      <c r="E44" s="53"/>
      <c r="F44" s="53"/>
      <c r="G44" s="34"/>
      <c r="H44" s="53" t="s">
        <v>3</v>
      </c>
      <c r="I44" s="53"/>
      <c r="J44" s="53"/>
      <c r="K44" s="53"/>
      <c r="L44" s="53"/>
      <c r="M44" s="54" t="s">
        <v>4</v>
      </c>
      <c r="N44" s="53" t="s">
        <v>5</v>
      </c>
      <c r="O44" s="53"/>
      <c r="P44" s="53"/>
      <c r="Q44" s="53"/>
      <c r="R44" s="53"/>
      <c r="S44" s="53" t="s">
        <v>6</v>
      </c>
      <c r="T44" s="53"/>
      <c r="U44" s="53"/>
      <c r="V44" s="53"/>
      <c r="W44" s="53"/>
      <c r="X44" s="54" t="s">
        <v>7</v>
      </c>
      <c r="Y44" s="54" t="s">
        <v>8</v>
      </c>
      <c r="Z44" s="53" t="s">
        <v>9</v>
      </c>
      <c r="AA44" s="53"/>
      <c r="AB44" s="53"/>
      <c r="AC44" s="53"/>
      <c r="AD44" s="53"/>
      <c r="AE44" s="53" t="s">
        <v>10</v>
      </c>
      <c r="AF44" s="53"/>
      <c r="AG44" s="53"/>
      <c r="AH44" s="53"/>
      <c r="AI44" s="53"/>
      <c r="AJ44" s="54" t="s">
        <v>11</v>
      </c>
      <c r="AK44" s="54" t="s">
        <v>8</v>
      </c>
      <c r="AL44" s="53" t="s">
        <v>12</v>
      </c>
      <c r="AM44" s="53"/>
      <c r="AN44" s="53"/>
      <c r="AO44" s="53"/>
      <c r="AP44" s="53"/>
      <c r="AQ44" s="53" t="s">
        <v>13</v>
      </c>
      <c r="AR44" s="53"/>
      <c r="AS44" s="53"/>
      <c r="AT44" s="53"/>
      <c r="AU44" s="53"/>
      <c r="AV44" s="54" t="s">
        <v>14</v>
      </c>
      <c r="AW44" s="54" t="s">
        <v>8</v>
      </c>
      <c r="AX44" s="53" t="s">
        <v>15</v>
      </c>
      <c r="AY44" s="53"/>
      <c r="AZ44" s="53"/>
      <c r="BA44" s="53"/>
      <c r="BB44" s="53"/>
      <c r="BC44" s="53" t="s">
        <v>16</v>
      </c>
      <c r="BD44" s="53"/>
      <c r="BE44" s="53"/>
      <c r="BF44" s="53"/>
      <c r="BG44" s="53"/>
      <c r="BH44" s="54" t="s">
        <v>17</v>
      </c>
      <c r="BI44" s="54" t="s">
        <v>8</v>
      </c>
      <c r="BJ44" s="53" t="s">
        <v>18</v>
      </c>
      <c r="BK44" s="53"/>
      <c r="BL44" s="53"/>
      <c r="BM44" s="53"/>
      <c r="BN44" s="53"/>
      <c r="BO44" s="53" t="s">
        <v>19</v>
      </c>
      <c r="BP44" s="53"/>
      <c r="BQ44" s="53"/>
      <c r="BR44" s="53"/>
      <c r="BS44" s="53"/>
      <c r="BT44" s="36" t="s">
        <v>20</v>
      </c>
      <c r="BU44" s="25"/>
      <c r="BV44" s="35"/>
      <c r="IP44" s="3"/>
      <c r="IQ44" s="3"/>
      <c r="IR44" s="3"/>
      <c r="IS44" s="3"/>
      <c r="IT44" s="3"/>
    </row>
    <row r="45" spans="1:254" s="2" customFormat="1" ht="12.75" customHeight="1" x14ac:dyDescent="0.2">
      <c r="A45" s="55"/>
      <c r="B45" s="55"/>
      <c r="C45" s="53" t="s">
        <v>21</v>
      </c>
      <c r="D45" s="53"/>
      <c r="E45" s="53" t="s">
        <v>22</v>
      </c>
      <c r="F45" s="53"/>
      <c r="G45" s="53" t="s">
        <v>23</v>
      </c>
      <c r="H45" s="53" t="s">
        <v>21</v>
      </c>
      <c r="I45" s="53"/>
      <c r="J45" s="53" t="s">
        <v>22</v>
      </c>
      <c r="K45" s="53"/>
      <c r="L45" s="53" t="s">
        <v>23</v>
      </c>
      <c r="M45" s="54"/>
      <c r="N45" s="53" t="s">
        <v>21</v>
      </c>
      <c r="O45" s="53"/>
      <c r="P45" s="53" t="s">
        <v>22</v>
      </c>
      <c r="Q45" s="53"/>
      <c r="R45" s="53" t="s">
        <v>23</v>
      </c>
      <c r="S45" s="53" t="s">
        <v>21</v>
      </c>
      <c r="T45" s="53"/>
      <c r="U45" s="53" t="s">
        <v>22</v>
      </c>
      <c r="V45" s="53"/>
      <c r="W45" s="53" t="s">
        <v>23</v>
      </c>
      <c r="X45" s="54"/>
      <c r="Y45" s="54"/>
      <c r="Z45" s="53" t="s">
        <v>21</v>
      </c>
      <c r="AA45" s="53"/>
      <c r="AB45" s="53" t="s">
        <v>22</v>
      </c>
      <c r="AC45" s="53"/>
      <c r="AD45" s="53" t="s">
        <v>23</v>
      </c>
      <c r="AE45" s="53" t="s">
        <v>21</v>
      </c>
      <c r="AF45" s="53"/>
      <c r="AG45" s="53" t="s">
        <v>22</v>
      </c>
      <c r="AH45" s="53"/>
      <c r="AI45" s="53" t="s">
        <v>23</v>
      </c>
      <c r="AJ45" s="54"/>
      <c r="AK45" s="54"/>
      <c r="AL45" s="53" t="s">
        <v>21</v>
      </c>
      <c r="AM45" s="53"/>
      <c r="AN45" s="53" t="s">
        <v>22</v>
      </c>
      <c r="AO45" s="53"/>
      <c r="AP45" s="53" t="s">
        <v>23</v>
      </c>
      <c r="AQ45" s="53" t="s">
        <v>21</v>
      </c>
      <c r="AR45" s="53"/>
      <c r="AS45" s="53" t="s">
        <v>22</v>
      </c>
      <c r="AT45" s="53"/>
      <c r="AU45" s="53" t="s">
        <v>23</v>
      </c>
      <c r="AV45" s="54"/>
      <c r="AW45" s="54"/>
      <c r="AX45" s="53" t="s">
        <v>21</v>
      </c>
      <c r="AY45" s="53"/>
      <c r="AZ45" s="53" t="s">
        <v>22</v>
      </c>
      <c r="BA45" s="53"/>
      <c r="BB45" s="53" t="s">
        <v>23</v>
      </c>
      <c r="BC45" s="53" t="s">
        <v>21</v>
      </c>
      <c r="BD45" s="53"/>
      <c r="BE45" s="53" t="s">
        <v>22</v>
      </c>
      <c r="BF45" s="53"/>
      <c r="BG45" s="53" t="s">
        <v>23</v>
      </c>
      <c r="BH45" s="54"/>
      <c r="BI45" s="54"/>
      <c r="BJ45" s="53" t="s">
        <v>21</v>
      </c>
      <c r="BK45" s="53"/>
      <c r="BL45" s="53" t="s">
        <v>22</v>
      </c>
      <c r="BM45" s="53"/>
      <c r="BN45" s="53"/>
      <c r="BO45" s="53" t="s">
        <v>21</v>
      </c>
      <c r="BP45" s="53"/>
      <c r="BQ45" s="53" t="s">
        <v>22</v>
      </c>
      <c r="BR45" s="53"/>
      <c r="BS45" s="53"/>
      <c r="BT45" s="53" t="s">
        <v>41</v>
      </c>
      <c r="BU45" s="25"/>
      <c r="BV45" s="35"/>
      <c r="IP45" s="3"/>
      <c r="IQ45" s="3"/>
      <c r="IR45" s="3"/>
      <c r="IS45" s="3"/>
      <c r="IT45" s="3"/>
    </row>
    <row r="46" spans="1:254" s="2" customFormat="1" ht="17.100000000000001" customHeight="1" x14ac:dyDescent="0.2">
      <c r="A46" s="55"/>
      <c r="B46" s="55"/>
      <c r="C46" s="34" t="s">
        <v>24</v>
      </c>
      <c r="D46" s="34" t="s">
        <v>25</v>
      </c>
      <c r="E46" s="34" t="s">
        <v>24</v>
      </c>
      <c r="F46" s="34" t="s">
        <v>25</v>
      </c>
      <c r="G46" s="53"/>
      <c r="H46" s="34" t="s">
        <v>24</v>
      </c>
      <c r="I46" s="34" t="s">
        <v>25</v>
      </c>
      <c r="J46" s="34" t="s">
        <v>24</v>
      </c>
      <c r="K46" s="34" t="s">
        <v>25</v>
      </c>
      <c r="L46" s="53"/>
      <c r="M46" s="54" t="s">
        <v>8</v>
      </c>
      <c r="N46" s="34" t="s">
        <v>24</v>
      </c>
      <c r="O46" s="34" t="s">
        <v>25</v>
      </c>
      <c r="P46" s="34" t="s">
        <v>24</v>
      </c>
      <c r="Q46" s="34" t="s">
        <v>25</v>
      </c>
      <c r="R46" s="53"/>
      <c r="S46" s="34" t="s">
        <v>24</v>
      </c>
      <c r="T46" s="34" t="s">
        <v>25</v>
      </c>
      <c r="U46" s="34" t="s">
        <v>24</v>
      </c>
      <c r="V46" s="34" t="s">
        <v>25</v>
      </c>
      <c r="W46" s="53"/>
      <c r="X46" s="54"/>
      <c r="Y46" s="54"/>
      <c r="Z46" s="34" t="s">
        <v>24</v>
      </c>
      <c r="AA46" s="34" t="s">
        <v>25</v>
      </c>
      <c r="AB46" s="34" t="s">
        <v>24</v>
      </c>
      <c r="AC46" s="34" t="s">
        <v>25</v>
      </c>
      <c r="AD46" s="53"/>
      <c r="AE46" s="34" t="s">
        <v>24</v>
      </c>
      <c r="AF46" s="34" t="s">
        <v>25</v>
      </c>
      <c r="AG46" s="34" t="s">
        <v>24</v>
      </c>
      <c r="AH46" s="34" t="s">
        <v>25</v>
      </c>
      <c r="AI46" s="53"/>
      <c r="AJ46" s="54"/>
      <c r="AK46" s="54"/>
      <c r="AL46" s="34" t="s">
        <v>24</v>
      </c>
      <c r="AM46" s="34" t="s">
        <v>25</v>
      </c>
      <c r="AN46" s="34" t="s">
        <v>24</v>
      </c>
      <c r="AO46" s="34" t="s">
        <v>25</v>
      </c>
      <c r="AP46" s="53"/>
      <c r="AQ46" s="34" t="s">
        <v>24</v>
      </c>
      <c r="AR46" s="34" t="s">
        <v>25</v>
      </c>
      <c r="AS46" s="34" t="s">
        <v>24</v>
      </c>
      <c r="AT46" s="34" t="s">
        <v>25</v>
      </c>
      <c r="AU46" s="53"/>
      <c r="AV46" s="54"/>
      <c r="AW46" s="54"/>
      <c r="AX46" s="34" t="s">
        <v>24</v>
      </c>
      <c r="AY46" s="34" t="s">
        <v>25</v>
      </c>
      <c r="AZ46" s="34" t="s">
        <v>24</v>
      </c>
      <c r="BA46" s="34" t="s">
        <v>25</v>
      </c>
      <c r="BB46" s="53"/>
      <c r="BC46" s="34" t="s">
        <v>24</v>
      </c>
      <c r="BD46" s="34" t="s">
        <v>25</v>
      </c>
      <c r="BE46" s="34" t="s">
        <v>24</v>
      </c>
      <c r="BF46" s="34" t="s">
        <v>25</v>
      </c>
      <c r="BG46" s="53"/>
      <c r="BH46" s="54"/>
      <c r="BI46" s="54"/>
      <c r="BJ46" s="34" t="s">
        <v>24</v>
      </c>
      <c r="BK46" s="34" t="s">
        <v>25</v>
      </c>
      <c r="BL46" s="34" t="s">
        <v>24</v>
      </c>
      <c r="BM46" s="34" t="s">
        <v>25</v>
      </c>
      <c r="BN46" s="4" t="s">
        <v>23</v>
      </c>
      <c r="BO46" s="34" t="s">
        <v>24</v>
      </c>
      <c r="BP46" s="34" t="s">
        <v>25</v>
      </c>
      <c r="BQ46" s="34" t="s">
        <v>24</v>
      </c>
      <c r="BR46" s="34" t="s">
        <v>25</v>
      </c>
      <c r="BS46" s="4" t="s">
        <v>23</v>
      </c>
      <c r="BT46" s="53"/>
      <c r="BU46" s="25" t="s">
        <v>25</v>
      </c>
      <c r="BV46" s="22" t="s">
        <v>23</v>
      </c>
      <c r="IP46" s="3"/>
      <c r="IQ46" s="3"/>
      <c r="IR46" s="3"/>
      <c r="IS46" s="3"/>
      <c r="IT46" s="3"/>
    </row>
    <row r="47" spans="1:254" s="24" customFormat="1" ht="17.100000000000001" customHeight="1" x14ac:dyDescent="0.2">
      <c r="A47" s="14" t="s">
        <v>32</v>
      </c>
      <c r="B47" s="9">
        <v>612800000</v>
      </c>
      <c r="C47" s="9" t="s">
        <v>27</v>
      </c>
      <c r="D47" s="9"/>
      <c r="E47" s="8">
        <f>80483312.94+9845328.69</f>
        <v>90328641.629999995</v>
      </c>
      <c r="F47" s="8">
        <v>64442079.460000001</v>
      </c>
      <c r="G47" s="8">
        <f>F47-E47</f>
        <v>-25886562.169999994</v>
      </c>
      <c r="H47" s="8" t="s">
        <v>27</v>
      </c>
      <c r="I47" s="8"/>
      <c r="J47" s="8">
        <f>44921916.88-G47+888575.84</f>
        <v>71697054.890000001</v>
      </c>
      <c r="K47" s="8">
        <v>57772585.600000001</v>
      </c>
      <c r="L47" s="8">
        <f>K47-J47</f>
        <v>-13924469.289999999</v>
      </c>
      <c r="M47" s="9">
        <f>F47+K47</f>
        <v>122214665.06</v>
      </c>
      <c r="N47" s="11" t="s">
        <v>27</v>
      </c>
      <c r="O47" s="11"/>
      <c r="P47" s="8">
        <f>41398316.83-L47+4481366.41</f>
        <v>59804152.530000001</v>
      </c>
      <c r="Q47" s="8">
        <v>46159348.07</v>
      </c>
      <c r="R47" s="8">
        <f>Q47-P47</f>
        <v>-13644804.460000001</v>
      </c>
      <c r="S47" s="8" t="s">
        <v>27</v>
      </c>
      <c r="T47" s="8"/>
      <c r="U47" s="8">
        <f>52369888.03-R47+625365.74</f>
        <v>66640058.230000004</v>
      </c>
      <c r="V47" s="8">
        <v>56576616.869999997</v>
      </c>
      <c r="W47" s="8">
        <f>V47-U47</f>
        <v>-10063441.360000007</v>
      </c>
      <c r="X47" s="9">
        <f>Q47+V47</f>
        <v>102735964.94</v>
      </c>
      <c r="Y47" s="8">
        <f>M47+X47</f>
        <v>224950630</v>
      </c>
      <c r="Z47" s="8" t="s">
        <v>27</v>
      </c>
      <c r="AA47" s="8"/>
      <c r="AB47" s="8">
        <f>47262200.23-W47+6875033.83</f>
        <v>64200675.420000002</v>
      </c>
      <c r="AC47" s="8">
        <v>51489104.490000002</v>
      </c>
      <c r="AD47" s="8">
        <f>AC47-AB47</f>
        <v>-12711570.93</v>
      </c>
      <c r="AE47" s="10" t="s">
        <v>27</v>
      </c>
      <c r="AF47" s="10"/>
      <c r="AG47" s="8">
        <f>43555372.79-AD47</f>
        <v>56266943.719999999</v>
      </c>
      <c r="AH47" s="8">
        <v>41093466.350000001</v>
      </c>
      <c r="AI47" s="8">
        <f>AH47-AG47</f>
        <v>-15173477.369999997</v>
      </c>
      <c r="AJ47" s="9">
        <f>AC47+AH47</f>
        <v>92582570.840000004</v>
      </c>
      <c r="AK47" s="8">
        <f>Y47+AJ47</f>
        <v>317533200.84000003</v>
      </c>
      <c r="AL47" s="10" t="s">
        <v>27</v>
      </c>
      <c r="AM47" s="10"/>
      <c r="AN47" s="8">
        <f>46926998.43-AI47+2362049.17</f>
        <v>64462524.969999999</v>
      </c>
      <c r="AO47" s="8">
        <v>47284029.07</v>
      </c>
      <c r="AP47" s="8">
        <f>AO47-AN47</f>
        <v>-17178495.899999999</v>
      </c>
      <c r="AQ47" s="8" t="s">
        <v>27</v>
      </c>
      <c r="AR47" s="8"/>
      <c r="AS47" s="8">
        <f>40855988.86+972477.95-AP47</f>
        <v>59006962.710000001</v>
      </c>
      <c r="AT47" s="8">
        <v>40589897.270000003</v>
      </c>
      <c r="AU47" s="8">
        <f>AT47-AS47</f>
        <v>-18417065.439999998</v>
      </c>
      <c r="AV47" s="9">
        <f>AO47+AT47</f>
        <v>87873926.340000004</v>
      </c>
      <c r="AW47" s="10">
        <f>AK47+AV47</f>
        <v>405407127.18000007</v>
      </c>
      <c r="AX47" s="10"/>
      <c r="AY47" s="10"/>
      <c r="AZ47" s="8">
        <f>38507126.37-AU47+5797778.21</f>
        <v>62721970.019999996</v>
      </c>
      <c r="BA47" s="8">
        <v>40161984.43</v>
      </c>
      <c r="BB47" s="8">
        <f>BA47-AZ47</f>
        <v>-22559985.589999996</v>
      </c>
      <c r="BC47" s="8" t="s">
        <v>27</v>
      </c>
      <c r="BD47" s="8"/>
      <c r="BE47" s="8">
        <f>43659548.83+1219298.97-BB47</f>
        <v>67438833.389999986</v>
      </c>
      <c r="BF47" s="8">
        <v>43659522.079999998</v>
      </c>
      <c r="BG47" s="8">
        <f>BF47-BE47</f>
        <v>-23779311.309999987</v>
      </c>
      <c r="BH47" s="9">
        <f>BA47+BF47</f>
        <v>83821506.50999999</v>
      </c>
      <c r="BI47" s="10">
        <f>AW47+BH47</f>
        <v>489228633.69000006</v>
      </c>
      <c r="BJ47" s="10" t="s">
        <v>27</v>
      </c>
      <c r="BK47" s="10"/>
      <c r="BL47" s="8">
        <f>59448953.62-BG47</f>
        <v>83228264.929999977</v>
      </c>
      <c r="BM47" s="8"/>
      <c r="BN47" s="10">
        <f>BL47</f>
        <v>83228264.929999977</v>
      </c>
      <c r="BO47" s="10"/>
      <c r="BP47" s="10" t="s">
        <v>27</v>
      </c>
      <c r="BQ47" s="8">
        <v>73410376.189999998</v>
      </c>
      <c r="BR47" s="8"/>
      <c r="BS47" s="10">
        <f>BQ47</f>
        <v>73410376.189999998</v>
      </c>
      <c r="BT47" s="9">
        <f>SUM(M47+X47+AJ47+AV47+BH47+BL47+BQ47)</f>
        <v>645867274.80999994</v>
      </c>
      <c r="BU47" s="26">
        <f>F47+K47+Q47+V47+AC47+AH47+AO47+AT47+BA47+BF47+BM47+BR47</f>
        <v>489228633.69</v>
      </c>
      <c r="BV47" s="23">
        <f>BT47-BU47</f>
        <v>156638641.11999995</v>
      </c>
      <c r="IP47" s="3"/>
      <c r="IQ47" s="3"/>
      <c r="IR47" s="3"/>
      <c r="IS47" s="3"/>
      <c r="IT47" s="3"/>
    </row>
    <row r="48" spans="1:254" s="24" customFormat="1" ht="17.100000000000001" customHeight="1" x14ac:dyDescent="0.2">
      <c r="A48" s="14" t="s">
        <v>33</v>
      </c>
      <c r="B48" s="27">
        <f>B23</f>
        <v>612800000</v>
      </c>
      <c r="C48" s="8">
        <f>C23</f>
        <v>4086500</v>
      </c>
      <c r="D48" s="8">
        <f>D23</f>
        <v>3900763.1100000003</v>
      </c>
      <c r="E48" s="8">
        <f>E23</f>
        <v>69757533.709999993</v>
      </c>
      <c r="F48" s="8">
        <f>F23</f>
        <v>36784425.020000003</v>
      </c>
      <c r="G48" s="8">
        <f>C48-D48+E48-F48</f>
        <v>33158845.579999991</v>
      </c>
      <c r="H48" s="8">
        <f>H23</f>
        <v>4072236.8899999997</v>
      </c>
      <c r="I48" s="8">
        <f>I23</f>
        <v>3994788.1100000003</v>
      </c>
      <c r="J48" s="8">
        <f>J23</f>
        <v>78524112.100000009</v>
      </c>
      <c r="K48" s="8">
        <f>K23</f>
        <v>39780450.579999998</v>
      </c>
      <c r="L48" s="8">
        <f>H48-I48+J48-K48</f>
        <v>38821110.300000012</v>
      </c>
      <c r="M48" s="9">
        <f>D48+F48+I48+K48</f>
        <v>84460426.819999993</v>
      </c>
      <c r="N48" s="8">
        <f>N23</f>
        <v>3998948.78</v>
      </c>
      <c r="O48" s="8">
        <f t="shared" ref="O48" si="27">O23</f>
        <v>3877819.2100000004</v>
      </c>
      <c r="P48" s="8">
        <f>P23</f>
        <v>90841369.040000007</v>
      </c>
      <c r="Q48" s="8">
        <f>Q23</f>
        <v>43401650.470000006</v>
      </c>
      <c r="R48" s="8">
        <f>SUM(N48-O48,P48-Q48)</f>
        <v>47560848.140000001</v>
      </c>
      <c r="S48" s="8">
        <f>S23</f>
        <v>4042629.5699999994</v>
      </c>
      <c r="T48" s="8">
        <f>T23</f>
        <v>3868580.4699999997</v>
      </c>
      <c r="U48" s="8">
        <f>U30+U39</f>
        <v>98438227.650000006</v>
      </c>
      <c r="V48" s="8">
        <f>V23</f>
        <v>44703579.890000001</v>
      </c>
      <c r="W48" s="8">
        <f>SUM(S48-T48,U48-V48)</f>
        <v>53908696.860000007</v>
      </c>
      <c r="X48" s="9">
        <f>O48+Q48+T48+V48</f>
        <v>95851630.040000007</v>
      </c>
      <c r="Y48" s="8">
        <f>M48+X48</f>
        <v>180312056.86000001</v>
      </c>
      <c r="Z48" s="8">
        <f>Z23</f>
        <v>3495549.0999999996</v>
      </c>
      <c r="AA48" s="8">
        <f>AA23</f>
        <v>3306352.0100000002</v>
      </c>
      <c r="AB48" s="8">
        <f>AB23-AB24</f>
        <v>108100598.41000001</v>
      </c>
      <c r="AC48" s="8">
        <f>AC23</f>
        <v>44394547.469999999</v>
      </c>
      <c r="AD48" s="8">
        <f>Z48-AA48+AB48-AC48</f>
        <v>63895248.030000016</v>
      </c>
      <c r="AE48" s="8">
        <f>AE23</f>
        <v>3510697.0899999994</v>
      </c>
      <c r="AF48" s="8">
        <f>AF23</f>
        <v>3238323.73</v>
      </c>
      <c r="AG48" s="8">
        <f>AG23</f>
        <v>115535637.94000003</v>
      </c>
      <c r="AH48" s="8">
        <f>AH23</f>
        <v>42582851.090000004</v>
      </c>
      <c r="AI48" s="8">
        <f>AE48-AF48+AG48-AH48</f>
        <v>73225160.210000023</v>
      </c>
      <c r="AJ48" s="9">
        <f>AA48+AC48+AF48+AH48</f>
        <v>93522074.299999997</v>
      </c>
      <c r="AK48" s="8">
        <f>Y48+AJ48</f>
        <v>273834131.16000003</v>
      </c>
      <c r="AL48" s="8">
        <f>AL23</f>
        <v>3193873.3599999994</v>
      </c>
      <c r="AM48" s="8">
        <f>AM23</f>
        <v>2893178.37</v>
      </c>
      <c r="AN48" s="8">
        <f>AN23</f>
        <v>123445940.64999999</v>
      </c>
      <c r="AO48" s="8">
        <f>AO23</f>
        <v>44544982.709999993</v>
      </c>
      <c r="AP48" s="8">
        <f>AL48-AM48+AN48-AO48</f>
        <v>79201652.929999992</v>
      </c>
      <c r="AQ48" s="8">
        <f>AQ23</f>
        <v>3222194.9899999993</v>
      </c>
      <c r="AR48" s="8">
        <f>AR23</f>
        <v>2881416.51</v>
      </c>
      <c r="AS48" s="8">
        <f>AS23</f>
        <v>135632479.19999999</v>
      </c>
      <c r="AT48" s="8">
        <f>AT23</f>
        <v>46720429.049999997</v>
      </c>
      <c r="AU48" s="8">
        <f>AQ48-AR48+AS48-AT48</f>
        <v>89252828.62999998</v>
      </c>
      <c r="AV48" s="9">
        <f>AM48+AO48+AR48+AT48</f>
        <v>97040006.639999986</v>
      </c>
      <c r="AW48" s="8">
        <f>AK48+AV48</f>
        <v>370874137.80000001</v>
      </c>
      <c r="AX48" s="8">
        <f>AX23</f>
        <v>3222278.4799999995</v>
      </c>
      <c r="AY48" s="8">
        <f>AY23</f>
        <v>2312592.98</v>
      </c>
      <c r="AZ48" s="8">
        <f>AZ23</f>
        <v>145788899.28999999</v>
      </c>
      <c r="BA48" s="8">
        <f>BA23</f>
        <v>42479912.439999998</v>
      </c>
      <c r="BB48" s="8">
        <f>AX48-AY48+AZ48-BA48</f>
        <v>104218672.34999999</v>
      </c>
      <c r="BC48" s="8">
        <f>BC23</f>
        <v>3442185.5</v>
      </c>
      <c r="BD48" s="8">
        <f>BD23</f>
        <v>2635198.9200000004</v>
      </c>
      <c r="BE48" s="8">
        <f>BE23</f>
        <v>149297734.28999999</v>
      </c>
      <c r="BF48" s="8">
        <f>BF23</f>
        <v>42948896.899999999</v>
      </c>
      <c r="BG48" s="8">
        <f>BC48-BD48+BE48-BF48</f>
        <v>107155823.97</v>
      </c>
      <c r="BH48" s="9">
        <f>AY48+BA48+BD48+BF48</f>
        <v>90376601.239999995</v>
      </c>
      <c r="BI48" s="8">
        <f>AW48+BH48</f>
        <v>461250739.04000002</v>
      </c>
      <c r="BJ48" s="8">
        <f>BJ23</f>
        <v>2771365.68</v>
      </c>
      <c r="BK48" s="8" t="e">
        <f>#REF!</f>
        <v>#REF!</v>
      </c>
      <c r="BL48" s="8">
        <f>BL23</f>
        <v>153616224.75999999</v>
      </c>
      <c r="BM48" s="8" t="e">
        <f>#REF!</f>
        <v>#REF!</v>
      </c>
      <c r="BN48" s="8" t="e">
        <f>BJ48-BK48+BL48-BM48</f>
        <v>#REF!</v>
      </c>
      <c r="BO48" s="8">
        <f>BO23</f>
        <v>1826500</v>
      </c>
      <c r="BP48" s="8" t="e">
        <f>#REF!</f>
        <v>#REF!</v>
      </c>
      <c r="BQ48" s="8">
        <f>BQ23</f>
        <v>75021562.459999993</v>
      </c>
      <c r="BR48" s="8" t="e">
        <f>#REF!</f>
        <v>#REF!</v>
      </c>
      <c r="BS48" s="8" t="e">
        <f>BO48-BP48+BQ48-BR48</f>
        <v>#REF!</v>
      </c>
      <c r="BT48" s="9">
        <f>SUM(M48+X48+AJ48+AV48+BH48+BL48+BQ48+BJ48+BO48)</f>
        <v>694486391.93999994</v>
      </c>
      <c r="BU48" s="28" t="e">
        <f>#REF!--#REF!</f>
        <v>#REF!</v>
      </c>
      <c r="BV48" s="23" t="e">
        <f>BT48-BU48</f>
        <v>#REF!</v>
      </c>
      <c r="IP48" s="3"/>
      <c r="IQ48" s="3"/>
      <c r="IR48" s="3"/>
      <c r="IS48" s="3"/>
      <c r="IT48" s="3"/>
    </row>
    <row r="49" spans="1:254" s="24" customFormat="1" ht="17.100000000000001" customHeight="1" x14ac:dyDescent="0.2">
      <c r="A49" s="14" t="s">
        <v>53</v>
      </c>
      <c r="B49" s="27"/>
      <c r="C49" s="8"/>
      <c r="D49" s="8"/>
      <c r="E49" s="8">
        <f>E47-C48-E48</f>
        <v>16484607.920000002</v>
      </c>
      <c r="F49" s="8">
        <f>F47-D48-F48</f>
        <v>23756891.329999998</v>
      </c>
      <c r="G49" s="8"/>
      <c r="H49" s="8"/>
      <c r="I49" s="8"/>
      <c r="J49" s="8">
        <f>J47-H48-J48</f>
        <v>-10899294.100000009</v>
      </c>
      <c r="K49" s="8">
        <f>K47-I48-K48</f>
        <v>13997346.910000004</v>
      </c>
      <c r="L49" s="8"/>
      <c r="M49" s="9">
        <f>M47-M48</f>
        <v>37754238.24000001</v>
      </c>
      <c r="N49" s="8"/>
      <c r="O49" s="8"/>
      <c r="P49" s="8">
        <f>P47-N48-P48</f>
        <v>-35036165.290000007</v>
      </c>
      <c r="Q49" s="8">
        <f>Q47-O48-Q48</f>
        <v>-1120121.6100000069</v>
      </c>
      <c r="R49" s="8"/>
      <c r="S49" s="8"/>
      <c r="T49" s="8"/>
      <c r="U49" s="8">
        <f>U47-S48-U48</f>
        <v>-35840798.990000002</v>
      </c>
      <c r="V49" s="8">
        <f>V47-T48-V48</f>
        <v>8004456.5099999979</v>
      </c>
      <c r="W49" s="8"/>
      <c r="X49" s="9">
        <f>X47-X48</f>
        <v>6884334.8999999911</v>
      </c>
      <c r="Y49" s="8"/>
      <c r="Z49" s="8"/>
      <c r="AA49" s="8"/>
      <c r="AB49" s="8">
        <f>AB47-Z48-AB48</f>
        <v>-47395472.090000011</v>
      </c>
      <c r="AC49" s="8">
        <f>AC47-AA48-AC48</f>
        <v>3788205.0100000054</v>
      </c>
      <c r="AD49" s="8"/>
      <c r="AE49" s="8"/>
      <c r="AF49" s="8"/>
      <c r="AG49" s="8">
        <f>AG47-AE48-AG48</f>
        <v>-62779391.310000025</v>
      </c>
      <c r="AH49" s="8">
        <f>AH47-AF48-AH48</f>
        <v>-4727708.4699999988</v>
      </c>
      <c r="AI49" s="8"/>
      <c r="AJ49" s="9">
        <f>AJ47-AJ48</f>
        <v>-939503.45999999344</v>
      </c>
      <c r="AK49" s="8"/>
      <c r="AL49" s="8"/>
      <c r="AM49" s="8"/>
      <c r="AN49" s="8">
        <f>AN47-AL48-AN48</f>
        <v>-62177289.039999992</v>
      </c>
      <c r="AO49" s="8">
        <f>AO47-AM48-AO48</f>
        <v>-154132.00999999046</v>
      </c>
      <c r="AP49" s="8"/>
      <c r="AQ49" s="8"/>
      <c r="AR49" s="8"/>
      <c r="AS49" s="8">
        <f>AS47-AQ48-AS48</f>
        <v>-79847711.479999989</v>
      </c>
      <c r="AT49" s="8">
        <f>AT47-AR48-AT48</f>
        <v>-9011948.2899999917</v>
      </c>
      <c r="AU49" s="8"/>
      <c r="AV49" s="9">
        <f>AV47-AV48</f>
        <v>-9166080.2999999821</v>
      </c>
      <c r="AW49" s="8"/>
      <c r="AX49" s="8"/>
      <c r="AY49" s="8"/>
      <c r="AZ49" s="8">
        <f>AZ47-AX48-AZ48</f>
        <v>-86289207.75</v>
      </c>
      <c r="BA49" s="8">
        <f>BA47-AY48-BA48</f>
        <v>-4630520.9899999946</v>
      </c>
      <c r="BB49" s="8"/>
      <c r="BC49" s="8"/>
      <c r="BD49" s="8"/>
      <c r="BE49" s="8">
        <f>BE47-BC48-BE48</f>
        <v>-85301086.400000006</v>
      </c>
      <c r="BF49" s="8">
        <f>BF47-BD48-BF48</f>
        <v>-1924573.7400000021</v>
      </c>
      <c r="BG49" s="8"/>
      <c r="BH49" s="9">
        <f>BH47-BH48</f>
        <v>-6555094.7300000042</v>
      </c>
      <c r="BI49" s="8"/>
      <c r="BJ49" s="8"/>
      <c r="BK49" s="8"/>
      <c r="BL49" s="8">
        <f>BL47-BJ48-BL48</f>
        <v>-73159325.51000002</v>
      </c>
      <c r="BM49" s="8">
        <f>BF50</f>
        <v>100152344.55000001</v>
      </c>
      <c r="BN49" s="8"/>
      <c r="BO49" s="8"/>
      <c r="BP49" s="8"/>
      <c r="BQ49" s="8">
        <f>BQ47-BO48-BQ48</f>
        <v>-3437686.2699999958</v>
      </c>
      <c r="BR49" s="8"/>
      <c r="BS49" s="8"/>
      <c r="BT49" s="9">
        <f>BT47-BT48</f>
        <v>-48619117.129999995</v>
      </c>
      <c r="BU49" s="28"/>
      <c r="BV49" s="23"/>
      <c r="IP49" s="3"/>
      <c r="IQ49" s="3"/>
      <c r="IR49" s="3"/>
      <c r="IS49" s="3"/>
      <c r="IT49" s="3"/>
    </row>
    <row r="50" spans="1:254" s="24" customFormat="1" ht="14.1" customHeight="1" x14ac:dyDescent="0.2">
      <c r="A50" s="14" t="s">
        <v>54</v>
      </c>
      <c r="B50" s="9">
        <f>B47+B51-B48</f>
        <v>72174449.899999976</v>
      </c>
      <c r="C50" s="9"/>
      <c r="D50" s="9"/>
      <c r="E50" s="8">
        <f>E49+B50</f>
        <v>88659057.819999978</v>
      </c>
      <c r="F50" s="8">
        <f>F49+E51</f>
        <v>95931341.230000004</v>
      </c>
      <c r="G50" s="8"/>
      <c r="H50" s="8"/>
      <c r="I50" s="8"/>
      <c r="J50" s="8">
        <f>J49+F50</f>
        <v>85032047.129999995</v>
      </c>
      <c r="K50" s="8">
        <f>K49+F50</f>
        <v>109928688.14000002</v>
      </c>
      <c r="L50" s="8"/>
      <c r="M50" s="9">
        <f>M49+B50</f>
        <v>109928688.13999999</v>
      </c>
      <c r="N50" s="11"/>
      <c r="O50" s="11"/>
      <c r="P50" s="8">
        <f>P49+M50</f>
        <v>74892522.849999979</v>
      </c>
      <c r="Q50" s="8">
        <f>Q49+K50</f>
        <v>108808566.53</v>
      </c>
      <c r="R50" s="8"/>
      <c r="S50" s="8"/>
      <c r="T50" s="8"/>
      <c r="U50" s="8">
        <f>Q50+U49</f>
        <v>72967767.539999992</v>
      </c>
      <c r="V50" s="8">
        <f>V49+Q50</f>
        <v>116813023.03999999</v>
      </c>
      <c r="W50" s="8"/>
      <c r="X50" s="9">
        <f>X49+M50</f>
        <v>116813023.03999998</v>
      </c>
      <c r="Y50" s="8" t="e">
        <f>Y47+Y51+Y48+#REF!</f>
        <v>#REF!</v>
      </c>
      <c r="Z50" s="8"/>
      <c r="AA50" s="8"/>
      <c r="AB50" s="8">
        <f>AB49+V50</f>
        <v>69417550.949999988</v>
      </c>
      <c r="AC50" s="8">
        <f>AC49+V50</f>
        <v>120601228.05</v>
      </c>
      <c r="AD50" s="8"/>
      <c r="AE50" s="8"/>
      <c r="AF50" s="8"/>
      <c r="AG50" s="8">
        <f>AG49+AC50</f>
        <v>57821836.739999972</v>
      </c>
      <c r="AH50" s="8">
        <f>AH49+AC50</f>
        <v>115873519.58</v>
      </c>
      <c r="AI50" s="8"/>
      <c r="AJ50" s="9">
        <f>AJ49+X50</f>
        <v>115873519.57999998</v>
      </c>
      <c r="AK50" s="8" t="e">
        <f>AK47+AK51+AK48+#REF!-#REF!-#REF!-#REF!-#REF!</f>
        <v>#REF!</v>
      </c>
      <c r="AL50" s="8"/>
      <c r="AM50" s="8"/>
      <c r="AN50" s="8">
        <f>AN49+AH50</f>
        <v>53696230.540000007</v>
      </c>
      <c r="AO50" s="8">
        <f>AO49+AH50</f>
        <v>115719387.57000001</v>
      </c>
      <c r="AP50" s="8"/>
      <c r="AQ50" s="8"/>
      <c r="AR50" s="8"/>
      <c r="AS50" s="8">
        <f>AS49+AN50</f>
        <v>-26151480.939999983</v>
      </c>
      <c r="AT50" s="8">
        <f>AT49+AO50</f>
        <v>106707439.28000002</v>
      </c>
      <c r="AU50" s="8"/>
      <c r="AV50" s="9">
        <f>AV49+AJ50</f>
        <v>106707439.28</v>
      </c>
      <c r="AW50" s="8" t="e">
        <f>AW47+AW51+AW48+#REF!-#REF!-#REF!-#REF!-#REF!</f>
        <v>#REF!</v>
      </c>
      <c r="AX50" s="8"/>
      <c r="AY50" s="8"/>
      <c r="AZ50" s="8">
        <f>AZ49+AT50</f>
        <v>20418231.530000016</v>
      </c>
      <c r="BA50" s="8">
        <f>BA49+AT50</f>
        <v>102076918.29000002</v>
      </c>
      <c r="BB50" s="8"/>
      <c r="BC50" s="8" t="s">
        <v>27</v>
      </c>
      <c r="BD50" s="8" t="s">
        <v>27</v>
      </c>
      <c r="BE50" s="8">
        <f>BE49+BA50</f>
        <v>16775831.890000015</v>
      </c>
      <c r="BF50" s="8">
        <f>BF49+BA50</f>
        <v>100152344.55000001</v>
      </c>
      <c r="BG50" s="8"/>
      <c r="BH50" s="9">
        <f>BH49+AV50</f>
        <v>100152344.55</v>
      </c>
      <c r="BI50" s="8" t="e">
        <f>BI47+BI51+BI48+#REF!-#REF!-#REF!-#REF!-#REF!</f>
        <v>#REF!</v>
      </c>
      <c r="BJ50" s="8"/>
      <c r="BK50" s="8"/>
      <c r="BL50" s="8">
        <f>BL49+BF50</f>
        <v>26993019.039999992</v>
      </c>
      <c r="BM50" s="8" t="e">
        <f>BM47+BM51-BK48-BM48+BM49</f>
        <v>#REF!</v>
      </c>
      <c r="BN50" s="8"/>
      <c r="BO50" s="8" t="s">
        <v>27</v>
      </c>
      <c r="BP50" s="8" t="s">
        <v>27</v>
      </c>
      <c r="BQ50" s="8">
        <f>BQ49+BL50</f>
        <v>23555332.769999996</v>
      </c>
      <c r="BR50" s="8" t="e">
        <f>BR47-SUM(BR48:BR49)</f>
        <v>#REF!</v>
      </c>
      <c r="BS50" s="8" t="e">
        <f>BS47-SUM(BS48:BS49)</f>
        <v>#REF!</v>
      </c>
      <c r="BT50" s="9">
        <f>BT51+BT49</f>
        <v>23555332.770000011</v>
      </c>
      <c r="BU50" s="28" t="e">
        <f>BU47-SUM(BU48:BU49)</f>
        <v>#REF!</v>
      </c>
      <c r="BV50" s="23" t="e">
        <f>BT50-BU50</f>
        <v>#REF!</v>
      </c>
      <c r="IP50" s="3"/>
      <c r="IQ50" s="3"/>
      <c r="IR50" s="3"/>
      <c r="IS50" s="3"/>
      <c r="IT50" s="3"/>
    </row>
    <row r="51" spans="1:254" s="24" customFormat="1" ht="15.75" customHeight="1" x14ac:dyDescent="0.2">
      <c r="A51" s="48" t="s">
        <v>35</v>
      </c>
      <c r="B51" s="45">
        <v>72174449.900000006</v>
      </c>
      <c r="C51" s="43"/>
      <c r="D51" s="43"/>
      <c r="E51" s="43">
        <f>B51</f>
        <v>72174449.900000006</v>
      </c>
      <c r="F51" s="43">
        <v>20278282.600000001</v>
      </c>
      <c r="G51" s="43">
        <f>E51-F51</f>
        <v>51896167.300000004</v>
      </c>
      <c r="H51" s="43"/>
      <c r="I51" s="43"/>
      <c r="J51" s="43">
        <f>G51</f>
        <v>51896167.300000004</v>
      </c>
      <c r="K51" s="43">
        <v>2029455.03</v>
      </c>
      <c r="L51" s="43">
        <f>J51-K51</f>
        <v>49866712.270000003</v>
      </c>
      <c r="M51" s="43">
        <f>F51+K51</f>
        <v>22307737.630000003</v>
      </c>
      <c r="N51" s="49"/>
      <c r="O51" s="49"/>
      <c r="P51" s="43">
        <f>L51</f>
        <v>49866712.270000003</v>
      </c>
      <c r="Q51" s="43">
        <v>2425602.23</v>
      </c>
      <c r="R51" s="43">
        <f>L51-Q51</f>
        <v>47441110.040000007</v>
      </c>
      <c r="S51" s="43"/>
      <c r="T51" s="43"/>
      <c r="U51" s="43">
        <f>R51</f>
        <v>47441110.040000007</v>
      </c>
      <c r="V51" s="43">
        <v>6736100.9400000004</v>
      </c>
      <c r="W51" s="43">
        <f>U51-V51</f>
        <v>40705009.100000009</v>
      </c>
      <c r="X51" s="43">
        <f>Q51+V51</f>
        <v>9161703.1699999999</v>
      </c>
      <c r="Y51" s="45">
        <f>X51</f>
        <v>9161703.1699999999</v>
      </c>
      <c r="Z51" s="43"/>
      <c r="AA51" s="43"/>
      <c r="AB51" s="43">
        <f>W51</f>
        <v>40705009.100000009</v>
      </c>
      <c r="AC51" s="43">
        <v>2376248.58</v>
      </c>
      <c r="AD51" s="43">
        <f>W51-AC51</f>
        <v>38328760.520000011</v>
      </c>
      <c r="AE51" s="43"/>
      <c r="AF51" s="43"/>
      <c r="AG51" s="43">
        <f>AD51</f>
        <v>38328760.520000011</v>
      </c>
      <c r="AH51" s="43">
        <v>3062658.88</v>
      </c>
      <c r="AI51" s="43">
        <f>AG51-AH51</f>
        <v>35266101.640000008</v>
      </c>
      <c r="AJ51" s="43">
        <f>AC51+AH51</f>
        <v>5438907.46</v>
      </c>
      <c r="AK51" s="43">
        <f>Y51+AJ51</f>
        <v>14600610.629999999</v>
      </c>
      <c r="AL51" s="43"/>
      <c r="AM51" s="43"/>
      <c r="AN51" s="43">
        <f>AI51</f>
        <v>35266101.640000008</v>
      </c>
      <c r="AO51" s="43">
        <v>1539320.98</v>
      </c>
      <c r="AP51" s="43">
        <f>AN51-AO51</f>
        <v>33726780.660000011</v>
      </c>
      <c r="AQ51" s="43"/>
      <c r="AR51" s="43"/>
      <c r="AS51" s="43">
        <f>AP51</f>
        <v>33726780.660000011</v>
      </c>
      <c r="AT51" s="43">
        <v>7932388.5499999998</v>
      </c>
      <c r="AU51" s="43">
        <f>AS51-AT51</f>
        <v>25794392.110000011</v>
      </c>
      <c r="AV51" s="43">
        <f>AO51+AT51</f>
        <v>9471709.5299999993</v>
      </c>
      <c r="AW51" s="43">
        <f>AK51+AV51</f>
        <v>24072320.159999996</v>
      </c>
      <c r="AX51" s="43"/>
      <c r="AY51" s="43"/>
      <c r="AZ51" s="43">
        <f>AU51</f>
        <v>25794392.110000011</v>
      </c>
      <c r="BA51" s="43">
        <v>1252850</v>
      </c>
      <c r="BB51" s="43">
        <f>AU51-BA51</f>
        <v>24541542.110000011</v>
      </c>
      <c r="BC51" s="43"/>
      <c r="BD51" s="43"/>
      <c r="BE51" s="43">
        <f>BB51</f>
        <v>24541542.110000011</v>
      </c>
      <c r="BF51" s="43">
        <v>1453331.17</v>
      </c>
      <c r="BG51" s="43">
        <f>BE51-BF51</f>
        <v>23088210.940000013</v>
      </c>
      <c r="BH51" s="43">
        <f>BA51+BF51</f>
        <v>2706181.17</v>
      </c>
      <c r="BI51" s="43">
        <f>AW51+BH51</f>
        <v>26778501.329999998</v>
      </c>
      <c r="BJ51" s="43"/>
      <c r="BK51" s="43"/>
      <c r="BL51" s="43">
        <f>BG51</f>
        <v>23088210.940000013</v>
      </c>
      <c r="BM51" s="43"/>
      <c r="BN51" s="43"/>
      <c r="BO51" s="43"/>
      <c r="BP51" s="43"/>
      <c r="BQ51" s="43"/>
      <c r="BR51" s="43"/>
      <c r="BS51" s="43"/>
      <c r="BT51" s="43">
        <f>B51</f>
        <v>72174449.900000006</v>
      </c>
      <c r="BU51" s="26"/>
      <c r="BV51" s="23">
        <f>BT51-BU51</f>
        <v>72174449.900000006</v>
      </c>
      <c r="IP51" s="3"/>
      <c r="IQ51" s="3"/>
      <c r="IR51" s="3"/>
      <c r="IS51" s="3"/>
      <c r="IT51" s="3"/>
    </row>
    <row r="53" spans="1:254" x14ac:dyDescent="0.2">
      <c r="U53" s="20"/>
      <c r="W53" s="19"/>
      <c r="X53" s="24"/>
      <c r="AG53" s="20"/>
      <c r="AI53" s="19"/>
      <c r="AJ53" s="24"/>
      <c r="AL53" s="20"/>
      <c r="AQ53" s="24"/>
      <c r="AS53" s="20"/>
      <c r="AU53" s="19"/>
      <c r="AV53" s="24"/>
      <c r="AX53" s="20"/>
      <c r="BC53" s="24"/>
      <c r="BG53" s="16"/>
      <c r="BH53" s="24"/>
      <c r="BJ53" s="20"/>
      <c r="BO53" s="24"/>
      <c r="BV53" s="16"/>
      <c r="BW53" s="2"/>
      <c r="IS53" s="3"/>
    </row>
    <row r="54" spans="1:254" x14ac:dyDescent="0.2">
      <c r="U54" s="20"/>
      <c r="W54" s="19"/>
      <c r="X54" s="24"/>
      <c r="AG54" s="20"/>
      <c r="AI54" s="19"/>
      <c r="AJ54" s="24"/>
      <c r="AL54" s="20"/>
      <c r="AQ54" s="24"/>
      <c r="AS54" s="20"/>
      <c r="AU54" s="19"/>
      <c r="AV54" s="24"/>
      <c r="AX54" s="20"/>
      <c r="BC54" s="24"/>
      <c r="BG54" s="16"/>
      <c r="BH54" s="24"/>
      <c r="BJ54" s="20"/>
      <c r="BO54" s="24"/>
      <c r="BV54" s="16"/>
      <c r="BW54" s="2"/>
      <c r="IS54" s="3"/>
    </row>
    <row r="55" spans="1:254" x14ac:dyDescent="0.2">
      <c r="U55" s="20"/>
      <c r="W55" s="19"/>
      <c r="X55" s="24"/>
      <c r="AG55" s="20"/>
      <c r="AI55" s="19"/>
      <c r="AJ55" s="24"/>
      <c r="AL55" s="20"/>
      <c r="AQ55" s="24"/>
      <c r="AS55" s="20"/>
      <c r="AU55" s="19"/>
      <c r="AV55" s="24"/>
      <c r="AX55" s="20"/>
      <c r="BC55" s="24"/>
      <c r="BG55" s="16"/>
      <c r="BH55" s="24"/>
      <c r="BJ55" s="20"/>
      <c r="BO55" s="24"/>
      <c r="BV55" s="16"/>
      <c r="BW55" s="2"/>
      <c r="IS55" s="3"/>
    </row>
    <row r="56" spans="1:254" x14ac:dyDescent="0.2">
      <c r="U56" s="20"/>
      <c r="W56" s="19"/>
      <c r="X56" s="24"/>
      <c r="AG56" s="20"/>
      <c r="AI56" s="19"/>
      <c r="AJ56" s="24"/>
      <c r="AL56" s="20"/>
      <c r="AQ56" s="24"/>
      <c r="AS56" s="20"/>
      <c r="AU56" s="19"/>
      <c r="AV56" s="24"/>
      <c r="AX56" s="20"/>
      <c r="BC56" s="24"/>
      <c r="BG56" s="16"/>
      <c r="BH56" s="24"/>
      <c r="BJ56" s="20"/>
      <c r="BO56" s="24"/>
      <c r="BV56" s="16"/>
      <c r="BW56" s="2"/>
      <c r="IS56" s="3"/>
    </row>
    <row r="57" spans="1:254" x14ac:dyDescent="0.2">
      <c r="U57" s="20"/>
      <c r="W57" s="19"/>
      <c r="X57" s="24"/>
      <c r="AG57" s="20"/>
      <c r="AI57" s="19"/>
      <c r="AJ57" s="24"/>
      <c r="AL57" s="20"/>
      <c r="AQ57" s="24"/>
      <c r="AS57" s="20"/>
      <c r="AU57" s="19"/>
      <c r="AV57" s="24"/>
      <c r="AX57" s="20"/>
      <c r="BC57" s="24"/>
      <c r="BG57" s="16"/>
      <c r="BH57" s="24"/>
      <c r="BJ57" s="20"/>
      <c r="BO57" s="24"/>
      <c r="BV57" s="16"/>
      <c r="BW57" s="2"/>
      <c r="IS57" s="3"/>
    </row>
    <row r="58" spans="1:254" x14ac:dyDescent="0.2">
      <c r="U58" s="20"/>
      <c r="W58" s="19"/>
      <c r="X58" s="24"/>
      <c r="AG58" s="20"/>
      <c r="AI58" s="19"/>
      <c r="AJ58" s="24"/>
      <c r="AL58" s="20"/>
      <c r="AQ58" s="24"/>
      <c r="AS58" s="20"/>
      <c r="AU58" s="19"/>
      <c r="AV58" s="24"/>
      <c r="AX58" s="20"/>
      <c r="BC58" s="24"/>
      <c r="BG58" s="16"/>
      <c r="BH58" s="24"/>
      <c r="BJ58" s="20"/>
      <c r="BO58" s="24"/>
      <c r="BV58" s="16"/>
      <c r="BW58" s="2"/>
      <c r="IS58" s="3"/>
    </row>
    <row r="59" spans="1:254" x14ac:dyDescent="0.2">
      <c r="U59" s="20"/>
      <c r="W59" s="19"/>
      <c r="X59" s="24"/>
      <c r="AG59" s="20"/>
      <c r="AI59" s="19"/>
      <c r="AJ59" s="24"/>
      <c r="AL59" s="20"/>
      <c r="AQ59" s="24"/>
      <c r="AS59" s="20"/>
      <c r="AU59" s="19"/>
      <c r="AV59" s="24"/>
      <c r="AX59" s="20"/>
      <c r="BC59" s="24"/>
      <c r="BG59" s="16"/>
      <c r="BH59" s="24"/>
      <c r="BJ59" s="20"/>
      <c r="BO59" s="24"/>
      <c r="BV59" s="16"/>
      <c r="BW59" s="2"/>
      <c r="IS59" s="3"/>
    </row>
    <row r="60" spans="1:254" x14ac:dyDescent="0.2">
      <c r="U60" s="20"/>
      <c r="W60" s="19"/>
      <c r="X60" s="24"/>
      <c r="AG60" s="20"/>
      <c r="AI60" s="19"/>
      <c r="AJ60" s="24"/>
      <c r="AL60" s="20"/>
      <c r="AQ60" s="24"/>
      <c r="AS60" s="20"/>
      <c r="AU60" s="19"/>
      <c r="AV60" s="24"/>
      <c r="AX60" s="20"/>
      <c r="BC60" s="24"/>
      <c r="BG60" s="16"/>
      <c r="BH60" s="24"/>
      <c r="BJ60" s="20"/>
      <c r="BO60" s="24"/>
      <c r="BV60" s="16"/>
      <c r="BW60" s="2"/>
      <c r="IS60" s="3"/>
    </row>
    <row r="61" spans="1:254" x14ac:dyDescent="0.2">
      <c r="U61" s="20"/>
      <c r="W61" s="19"/>
      <c r="X61" s="24"/>
      <c r="AG61" s="20"/>
      <c r="AI61" s="19"/>
      <c r="AJ61" s="24"/>
      <c r="AL61" s="20"/>
      <c r="AQ61" s="24"/>
      <c r="AS61" s="20"/>
      <c r="AU61" s="19"/>
      <c r="AV61" s="24"/>
      <c r="AX61" s="20"/>
      <c r="BC61" s="24"/>
      <c r="BG61" s="16"/>
      <c r="BH61" s="24"/>
      <c r="BJ61" s="20"/>
      <c r="BO61" s="24"/>
      <c r="BV61" s="16"/>
      <c r="BW61" s="2"/>
      <c r="IS61" s="3"/>
    </row>
    <row r="62" spans="1:254" x14ac:dyDescent="0.2">
      <c r="U62" s="20"/>
      <c r="W62" s="19"/>
      <c r="X62" s="24"/>
      <c r="AG62" s="20"/>
      <c r="AI62" s="19"/>
      <c r="AJ62" s="24"/>
      <c r="AL62" s="20"/>
      <c r="AQ62" s="24"/>
      <c r="AS62" s="20"/>
      <c r="AU62" s="19"/>
      <c r="AV62" s="24"/>
      <c r="AX62" s="20"/>
      <c r="BC62" s="24"/>
      <c r="BG62" s="16"/>
      <c r="BH62" s="24"/>
      <c r="BJ62" s="20"/>
      <c r="BO62" s="24"/>
      <c r="BV62" s="16"/>
      <c r="BW62" s="2"/>
      <c r="IS62" s="3"/>
    </row>
    <row r="63" spans="1:254" x14ac:dyDescent="0.2">
      <c r="U63" s="20"/>
      <c r="W63" s="19"/>
      <c r="X63" s="24"/>
      <c r="AG63" s="20"/>
      <c r="AI63" s="19"/>
      <c r="AJ63" s="24"/>
      <c r="AL63" s="20"/>
      <c r="AQ63" s="24"/>
      <c r="AS63" s="20"/>
      <c r="AU63" s="19"/>
      <c r="AV63" s="24"/>
      <c r="AX63" s="20"/>
      <c r="BC63" s="24"/>
      <c r="BG63" s="16"/>
      <c r="BH63" s="24"/>
      <c r="BJ63" s="20"/>
      <c r="BO63" s="24"/>
      <c r="BV63" s="16"/>
      <c r="BW63" s="2"/>
      <c r="IS63" s="3"/>
    </row>
    <row r="64" spans="1:254" x14ac:dyDescent="0.2">
      <c r="U64" s="20"/>
      <c r="W64" s="19"/>
      <c r="X64" s="24"/>
      <c r="AG64" s="20"/>
      <c r="AI64" s="19"/>
      <c r="AJ64" s="24"/>
      <c r="AL64" s="20"/>
      <c r="AQ64" s="24"/>
      <c r="AS64" s="20"/>
      <c r="AU64" s="19"/>
      <c r="AV64" s="24"/>
      <c r="AX64" s="20"/>
      <c r="BC64" s="24"/>
      <c r="BG64" s="16"/>
      <c r="BH64" s="24"/>
      <c r="BJ64" s="20"/>
      <c r="BO64" s="24"/>
      <c r="BV64" s="16"/>
      <c r="BW64" s="2"/>
      <c r="IS64" s="3"/>
    </row>
    <row r="65" spans="21:253" x14ac:dyDescent="0.2">
      <c r="U65" s="20"/>
      <c r="W65" s="19"/>
      <c r="X65" s="24"/>
      <c r="AG65" s="20"/>
      <c r="AI65" s="19"/>
      <c r="AJ65" s="24"/>
      <c r="AL65" s="20"/>
      <c r="AQ65" s="24"/>
      <c r="AS65" s="20"/>
      <c r="AU65" s="19"/>
      <c r="AV65" s="24"/>
      <c r="AX65" s="20"/>
      <c r="BC65" s="24"/>
      <c r="BG65" s="16"/>
      <c r="BH65" s="24"/>
      <c r="BJ65" s="20"/>
      <c r="BO65" s="24"/>
      <c r="BV65" s="16"/>
      <c r="BW65" s="2"/>
      <c r="IS65" s="3"/>
    </row>
    <row r="66" spans="21:253" x14ac:dyDescent="0.2">
      <c r="U66" s="20"/>
      <c r="W66" s="19"/>
      <c r="X66" s="24"/>
      <c r="AG66" s="20"/>
      <c r="AI66" s="19"/>
      <c r="AJ66" s="24"/>
      <c r="AL66" s="20"/>
      <c r="AQ66" s="24"/>
      <c r="AS66" s="20"/>
      <c r="AU66" s="19"/>
      <c r="AV66" s="24"/>
      <c r="AX66" s="20"/>
      <c r="BC66" s="24"/>
      <c r="BG66" s="16"/>
      <c r="BH66" s="24"/>
      <c r="BJ66" s="20"/>
      <c r="BO66" s="24"/>
      <c r="BV66" s="16"/>
      <c r="BW66" s="2"/>
      <c r="IS66" s="3"/>
    </row>
    <row r="67" spans="21:253" x14ac:dyDescent="0.2">
      <c r="U67" s="20"/>
      <c r="W67" s="19"/>
      <c r="X67" s="24"/>
      <c r="AG67" s="20"/>
      <c r="AI67" s="19"/>
      <c r="AJ67" s="24"/>
      <c r="AL67" s="20"/>
      <c r="AQ67" s="24"/>
      <c r="AS67" s="20"/>
      <c r="AU67" s="19"/>
      <c r="AV67" s="24"/>
      <c r="AX67" s="20"/>
      <c r="BC67" s="24"/>
      <c r="BG67" s="16"/>
      <c r="BH67" s="24"/>
      <c r="BJ67" s="20"/>
      <c r="BO67" s="24"/>
      <c r="BV67" s="16"/>
      <c r="BW67" s="2"/>
      <c r="IS67" s="3"/>
    </row>
    <row r="68" spans="21:253" x14ac:dyDescent="0.2">
      <c r="U68" s="20"/>
      <c r="W68" s="19"/>
      <c r="X68" s="24"/>
      <c r="AG68" s="20"/>
      <c r="AI68" s="19"/>
      <c r="AJ68" s="24"/>
      <c r="AL68" s="20"/>
      <c r="AQ68" s="24"/>
      <c r="AS68" s="20"/>
      <c r="AU68" s="19"/>
      <c r="AV68" s="24"/>
      <c r="AX68" s="20"/>
      <c r="BC68" s="24"/>
      <c r="BG68" s="16"/>
      <c r="BH68" s="24"/>
      <c r="BJ68" s="20"/>
      <c r="BO68" s="24"/>
      <c r="BV68" s="16"/>
      <c r="BW68" s="2"/>
      <c r="IS68" s="3"/>
    </row>
    <row r="69" spans="21:253" x14ac:dyDescent="0.2">
      <c r="U69" s="20"/>
      <c r="W69" s="19"/>
      <c r="X69" s="24"/>
      <c r="AG69" s="20"/>
      <c r="AI69" s="19"/>
      <c r="AJ69" s="24"/>
      <c r="AL69" s="20"/>
      <c r="AQ69" s="24"/>
      <c r="AS69" s="20"/>
      <c r="AU69" s="19"/>
      <c r="AV69" s="24"/>
      <c r="AX69" s="20"/>
      <c r="BC69" s="24"/>
      <c r="BG69" s="16"/>
      <c r="BH69" s="24"/>
      <c r="BJ69" s="20"/>
      <c r="BO69" s="24"/>
      <c r="BV69" s="16"/>
      <c r="BW69" s="2"/>
      <c r="IS69" s="3"/>
    </row>
    <row r="70" spans="21:253" x14ac:dyDescent="0.2">
      <c r="U70" s="20"/>
      <c r="W70" s="19"/>
      <c r="X70" s="24"/>
      <c r="AG70" s="20"/>
      <c r="AI70" s="19"/>
      <c r="AJ70" s="24"/>
      <c r="AL70" s="20"/>
      <c r="AQ70" s="24"/>
      <c r="AS70" s="20"/>
      <c r="AU70" s="19"/>
      <c r="AV70" s="24"/>
      <c r="AX70" s="20"/>
      <c r="BC70" s="24"/>
      <c r="BG70" s="16"/>
      <c r="BH70" s="24"/>
      <c r="BJ70" s="20"/>
      <c r="BO70" s="24"/>
      <c r="BV70" s="16"/>
      <c r="BW70" s="2"/>
      <c r="IS70" s="3"/>
    </row>
    <row r="71" spans="21:253" x14ac:dyDescent="0.2">
      <c r="U71" s="20"/>
      <c r="W71" s="19"/>
      <c r="X71" s="24"/>
      <c r="AG71" s="20"/>
      <c r="AI71" s="19"/>
      <c r="AJ71" s="24"/>
      <c r="AL71" s="20"/>
      <c r="AQ71" s="24"/>
      <c r="AS71" s="20"/>
      <c r="AU71" s="19"/>
      <c r="AV71" s="24"/>
      <c r="AX71" s="20"/>
      <c r="BC71" s="24"/>
      <c r="BG71" s="16"/>
      <c r="BH71" s="24"/>
      <c r="BJ71" s="20"/>
      <c r="BO71" s="24"/>
      <c r="BV71" s="16"/>
      <c r="BW71" s="2"/>
      <c r="IS71" s="3"/>
    </row>
    <row r="72" spans="21:253" x14ac:dyDescent="0.2">
      <c r="U72" s="20"/>
      <c r="W72" s="19"/>
      <c r="X72" s="24"/>
      <c r="AG72" s="20"/>
      <c r="AI72" s="19"/>
      <c r="AJ72" s="24"/>
      <c r="AL72" s="20"/>
      <c r="AQ72" s="24"/>
      <c r="AS72" s="20"/>
      <c r="AU72" s="19"/>
      <c r="AV72" s="24"/>
      <c r="AX72" s="20"/>
      <c r="BC72" s="24"/>
      <c r="BG72" s="16"/>
      <c r="BH72" s="24"/>
      <c r="BJ72" s="20"/>
      <c r="BO72" s="24"/>
      <c r="BV72" s="16"/>
      <c r="BW72" s="2"/>
      <c r="IS72" s="3"/>
    </row>
    <row r="73" spans="21:253" x14ac:dyDescent="0.2">
      <c r="U73" s="20"/>
      <c r="W73" s="19"/>
      <c r="X73" s="24"/>
      <c r="AG73" s="20"/>
      <c r="AI73" s="19"/>
      <c r="AJ73" s="24"/>
      <c r="AL73" s="20"/>
      <c r="AQ73" s="24"/>
      <c r="AS73" s="20"/>
      <c r="AU73" s="19"/>
      <c r="AV73" s="24"/>
      <c r="AX73" s="20"/>
      <c r="BC73" s="24"/>
      <c r="BG73" s="16"/>
      <c r="BH73" s="24"/>
      <c r="BJ73" s="20"/>
      <c r="BO73" s="24"/>
      <c r="BV73" s="16"/>
      <c r="BW73" s="2"/>
      <c r="IS73" s="3"/>
    </row>
    <row r="74" spans="21:253" x14ac:dyDescent="0.2">
      <c r="U74" s="20"/>
      <c r="W74" s="19"/>
      <c r="X74" s="24"/>
      <c r="AG74" s="20"/>
      <c r="AI74" s="19"/>
      <c r="AJ74" s="24"/>
      <c r="AL74" s="20"/>
      <c r="AQ74" s="24"/>
      <c r="AS74" s="20"/>
      <c r="AU74" s="19"/>
      <c r="AV74" s="24"/>
      <c r="AX74" s="20"/>
      <c r="BC74" s="24"/>
      <c r="BG74" s="16"/>
      <c r="BH74" s="24"/>
      <c r="BJ74" s="20"/>
      <c r="BO74" s="24"/>
      <c r="BV74" s="16"/>
      <c r="BW74" s="2"/>
      <c r="IS74" s="3"/>
    </row>
    <row r="75" spans="21:253" x14ac:dyDescent="0.2">
      <c r="U75" s="20"/>
      <c r="W75" s="19"/>
      <c r="X75" s="24"/>
      <c r="AG75" s="20"/>
      <c r="AI75" s="19"/>
      <c r="AJ75" s="24"/>
      <c r="AL75" s="20"/>
      <c r="AQ75" s="24"/>
      <c r="AS75" s="20"/>
      <c r="AU75" s="19"/>
      <c r="AV75" s="24"/>
      <c r="AX75" s="20"/>
      <c r="BC75" s="24"/>
      <c r="BG75" s="16"/>
      <c r="BH75" s="24"/>
      <c r="BJ75" s="20"/>
      <c r="BO75" s="24"/>
      <c r="BV75" s="16"/>
      <c r="BW75" s="2"/>
      <c r="IS75" s="3"/>
    </row>
  </sheetData>
  <mergeCells count="232">
    <mergeCell ref="BO44:BS44"/>
    <mergeCell ref="BO36:BP36"/>
    <mergeCell ref="BB45:BB46"/>
    <mergeCell ref="BC45:BD45"/>
    <mergeCell ref="BE45:BF45"/>
    <mergeCell ref="BG45:BG46"/>
    <mergeCell ref="BJ45:BK45"/>
    <mergeCell ref="BT3:BT4"/>
    <mergeCell ref="BT45:BT46"/>
    <mergeCell ref="BT27:BT28"/>
    <mergeCell ref="BT36:BT37"/>
    <mergeCell ref="BO45:BP45"/>
    <mergeCell ref="BQ45:BS45"/>
    <mergeCell ref="BO26:BS26"/>
    <mergeCell ref="BL45:BN45"/>
    <mergeCell ref="BH44:BH46"/>
    <mergeCell ref="BI44:BI46"/>
    <mergeCell ref="BJ44:BN44"/>
    <mergeCell ref="AX44:BB44"/>
    <mergeCell ref="BL36:BN36"/>
    <mergeCell ref="BH35:BH37"/>
    <mergeCell ref="BI35:BI37"/>
    <mergeCell ref="BC26:BG26"/>
    <mergeCell ref="BH26:BH28"/>
    <mergeCell ref="AW44:AW46"/>
    <mergeCell ref="S45:T45"/>
    <mergeCell ref="U45:V45"/>
    <mergeCell ref="W45:W46"/>
    <mergeCell ref="Z45:AA45"/>
    <mergeCell ref="AB45:AC45"/>
    <mergeCell ref="X44:X46"/>
    <mergeCell ref="Y44:Y46"/>
    <mergeCell ref="Z44:AD44"/>
    <mergeCell ref="AE45:AF45"/>
    <mergeCell ref="AD45:AD46"/>
    <mergeCell ref="H45:I45"/>
    <mergeCell ref="J45:K45"/>
    <mergeCell ref="N45:O45"/>
    <mergeCell ref="AG45:AH45"/>
    <mergeCell ref="AI45:AI46"/>
    <mergeCell ref="BQ36:BS36"/>
    <mergeCell ref="AI36:AI37"/>
    <mergeCell ref="AL36:AM36"/>
    <mergeCell ref="AN36:AO36"/>
    <mergeCell ref="BE36:BF36"/>
    <mergeCell ref="BG36:BG37"/>
    <mergeCell ref="AW35:AW37"/>
    <mergeCell ref="AX35:BB35"/>
    <mergeCell ref="BC35:BG35"/>
    <mergeCell ref="AL35:AP35"/>
    <mergeCell ref="BJ35:BN35"/>
    <mergeCell ref="AX36:AY36"/>
    <mergeCell ref="AZ36:BA36"/>
    <mergeCell ref="BB36:BB37"/>
    <mergeCell ref="BC36:BD36"/>
    <mergeCell ref="BJ36:BK36"/>
    <mergeCell ref="AL44:AP44"/>
    <mergeCell ref="AQ44:AU44"/>
    <mergeCell ref="AV44:AV46"/>
    <mergeCell ref="A44:B46"/>
    <mergeCell ref="C44:F44"/>
    <mergeCell ref="H44:L44"/>
    <mergeCell ref="M44:M46"/>
    <mergeCell ref="N44:R44"/>
    <mergeCell ref="S44:W44"/>
    <mergeCell ref="L45:L46"/>
    <mergeCell ref="BC44:BG44"/>
    <mergeCell ref="AL45:AM45"/>
    <mergeCell ref="AN45:AO45"/>
    <mergeCell ref="AP45:AP46"/>
    <mergeCell ref="AQ45:AR45"/>
    <mergeCell ref="AS45:AT45"/>
    <mergeCell ref="AU45:AU46"/>
    <mergeCell ref="AX45:AY45"/>
    <mergeCell ref="AZ45:BA45"/>
    <mergeCell ref="AK44:AK46"/>
    <mergeCell ref="P45:Q45"/>
    <mergeCell ref="R45:R46"/>
    <mergeCell ref="AE44:AI44"/>
    <mergeCell ref="AJ44:AJ46"/>
    <mergeCell ref="C45:D45"/>
    <mergeCell ref="E45:F45"/>
    <mergeCell ref="G45:G46"/>
    <mergeCell ref="A35:B37"/>
    <mergeCell ref="C35:F35"/>
    <mergeCell ref="H35:L35"/>
    <mergeCell ref="M35:M37"/>
    <mergeCell ref="N35:R35"/>
    <mergeCell ref="AV35:AV37"/>
    <mergeCell ref="AP36:AP37"/>
    <mergeCell ref="AQ36:AR36"/>
    <mergeCell ref="AS36:AT36"/>
    <mergeCell ref="AU36:AU37"/>
    <mergeCell ref="X35:X37"/>
    <mergeCell ref="Y35:Y37"/>
    <mergeCell ref="Z35:AD35"/>
    <mergeCell ref="AE35:AI35"/>
    <mergeCell ref="AJ35:AJ37"/>
    <mergeCell ref="C36:D36"/>
    <mergeCell ref="E36:F36"/>
    <mergeCell ref="G36:G37"/>
    <mergeCell ref="H36:I36"/>
    <mergeCell ref="J36:K36"/>
    <mergeCell ref="L36:L37"/>
    <mergeCell ref="N36:O36"/>
    <mergeCell ref="P36:Q36"/>
    <mergeCell ref="AG36:AH36"/>
    <mergeCell ref="BQ27:BS27"/>
    <mergeCell ref="Z27:AA27"/>
    <mergeCell ref="AB27:AC27"/>
    <mergeCell ref="AD27:AD28"/>
    <mergeCell ref="AE27:AF27"/>
    <mergeCell ref="AG27:AH27"/>
    <mergeCell ref="S35:W35"/>
    <mergeCell ref="R36:R37"/>
    <mergeCell ref="S36:T36"/>
    <mergeCell ref="U36:V36"/>
    <mergeCell ref="W36:W37"/>
    <mergeCell ref="BE27:BF27"/>
    <mergeCell ref="AI27:AI28"/>
    <mergeCell ref="AJ26:AJ28"/>
    <mergeCell ref="AK26:AK28"/>
    <mergeCell ref="AL26:AP26"/>
    <mergeCell ref="AK35:AK37"/>
    <mergeCell ref="Z36:AA36"/>
    <mergeCell ref="AB36:AC36"/>
    <mergeCell ref="AD36:AD37"/>
    <mergeCell ref="AE36:AF36"/>
    <mergeCell ref="AQ35:AU35"/>
    <mergeCell ref="BO35:BS35"/>
    <mergeCell ref="AE26:AI26"/>
    <mergeCell ref="BO27:BP27"/>
    <mergeCell ref="BI26:BI28"/>
    <mergeCell ref="BJ26:BN26"/>
    <mergeCell ref="AW26:AW28"/>
    <mergeCell ref="AX26:BB26"/>
    <mergeCell ref="AZ27:BA27"/>
    <mergeCell ref="BB27:BB28"/>
    <mergeCell ref="BC27:BD27"/>
    <mergeCell ref="BG27:BG28"/>
    <mergeCell ref="BJ27:BK27"/>
    <mergeCell ref="BL27:BN27"/>
    <mergeCell ref="AQ26:AU26"/>
    <mergeCell ref="AV26:AV28"/>
    <mergeCell ref="AL27:AM27"/>
    <mergeCell ref="AN27:AO27"/>
    <mergeCell ref="AP27:AP28"/>
    <mergeCell ref="R27:R28"/>
    <mergeCell ref="BO3:BP3"/>
    <mergeCell ref="A26:B28"/>
    <mergeCell ref="AI3:AI4"/>
    <mergeCell ref="AS3:AT3"/>
    <mergeCell ref="AU3:AU4"/>
    <mergeCell ref="AX3:AY3"/>
    <mergeCell ref="AZ3:BA3"/>
    <mergeCell ref="AS27:AT27"/>
    <mergeCell ref="AU27:AU28"/>
    <mergeCell ref="Y26:Y28"/>
    <mergeCell ref="Z26:AD26"/>
    <mergeCell ref="AX27:AY27"/>
    <mergeCell ref="C26:F26"/>
    <mergeCell ref="H26:L26"/>
    <mergeCell ref="M26:M28"/>
    <mergeCell ref="N26:R26"/>
    <mergeCell ref="S26:W26"/>
    <mergeCell ref="X26:X28"/>
    <mergeCell ref="BB3:BB4"/>
    <mergeCell ref="BJ2:BN2"/>
    <mergeCell ref="BH2:BH4"/>
    <mergeCell ref="BG3:BG4"/>
    <mergeCell ref="G3:G4"/>
    <mergeCell ref="H3:I3"/>
    <mergeCell ref="J3:K3"/>
    <mergeCell ref="L3:L4"/>
    <mergeCell ref="N3:O3"/>
    <mergeCell ref="AV2:AV4"/>
    <mergeCell ref="P3:Q3"/>
    <mergeCell ref="AQ2:AU2"/>
    <mergeCell ref="Z3:AA3"/>
    <mergeCell ref="AB3:AC3"/>
    <mergeCell ref="Z2:AD2"/>
    <mergeCell ref="AL3:AM3"/>
    <mergeCell ref="AN3:AO3"/>
    <mergeCell ref="W3:W4"/>
    <mergeCell ref="AQ27:AR27"/>
    <mergeCell ref="A2:A4"/>
    <mergeCell ref="B2:B4"/>
    <mergeCell ref="C2:F2"/>
    <mergeCell ref="H2:L2"/>
    <mergeCell ref="M2:M4"/>
    <mergeCell ref="N2:R2"/>
    <mergeCell ref="C3:D3"/>
    <mergeCell ref="E3:F3"/>
    <mergeCell ref="AJ2:AJ4"/>
    <mergeCell ref="R3:R4"/>
    <mergeCell ref="S3:T3"/>
    <mergeCell ref="U3:V3"/>
    <mergeCell ref="E27:F27"/>
    <mergeCell ref="G27:G28"/>
    <mergeCell ref="H27:I27"/>
    <mergeCell ref="L27:L28"/>
    <mergeCell ref="N27:O27"/>
    <mergeCell ref="S27:T27"/>
    <mergeCell ref="U27:V27"/>
    <mergeCell ref="W27:W28"/>
    <mergeCell ref="J27:K27"/>
    <mergeCell ref="P27:Q27"/>
    <mergeCell ref="C27:D27"/>
    <mergeCell ref="C1:X1"/>
    <mergeCell ref="Z1:AV1"/>
    <mergeCell ref="AX1:BT1"/>
    <mergeCell ref="S2:W2"/>
    <mergeCell ref="X2:X4"/>
    <mergeCell ref="Y2:Y4"/>
    <mergeCell ref="AD3:AD4"/>
    <mergeCell ref="AE3:AF3"/>
    <mergeCell ref="AG3:AH3"/>
    <mergeCell ref="AE2:AI2"/>
    <mergeCell ref="AK2:AK4"/>
    <mergeCell ref="AL2:AP2"/>
    <mergeCell ref="AW2:AW4"/>
    <mergeCell ref="AX2:BB2"/>
    <mergeCell ref="AP3:AP4"/>
    <mergeCell ref="AQ3:AR3"/>
    <mergeCell ref="BO2:BS2"/>
    <mergeCell ref="BC3:BD3"/>
    <mergeCell ref="BE3:BF3"/>
    <mergeCell ref="BC2:BG2"/>
    <mergeCell ref="BJ3:BK3"/>
    <mergeCell ref="BI2:BI4"/>
    <mergeCell ref="BL3:BN3"/>
    <mergeCell ref="BQ3:BS3"/>
  </mergeCells>
  <printOptions horizontalCentered="1"/>
  <pageMargins left="0.19685039370078741" right="0.19685039370078741" top="0.6692913385826772" bottom="0.19685039370078741" header="0.39370078740157483" footer="0.51181102362204722"/>
  <pageSetup paperSize="9" orientation="landscape" useFirstPageNumber="1" horizontalDpi="4294967293" verticalDpi="4294967293" r:id="rId1"/>
  <headerFooter alignWithMargins="0">
    <oddHeader>&amp;C&amp;"-,Regular"&amp;12ANEXO II</oddHeader>
  </headerFooter>
  <rowBreaks count="1" manualBreakCount="1">
    <brk id="25" max="71" man="1"/>
  </rowBreaks>
  <colBreaks count="3" manualBreakCount="3">
    <brk id="24" max="50" man="1"/>
    <brk id="37" max="50" man="1"/>
    <brk id="60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Planilha1</vt:lpstr>
      <vt:lpstr>Planilha2</vt:lpstr>
      <vt:lpstr>Planilha3</vt:lpstr>
      <vt:lpstr>Planilha1!Area_de_impressao</vt:lpstr>
      <vt:lpstr>Excel_BuiltIn_Print_Area_1</vt:lpstr>
      <vt:lpstr>Excel_BuiltIn_Print_Titles_1_1</vt:lpstr>
      <vt:lpstr>Planilha1!Titulos_de_impressao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PMSM PM</dc:creator>
  <cp:lastModifiedBy>dirlegis3</cp:lastModifiedBy>
  <cp:revision>1</cp:revision>
  <cp:lastPrinted>2019-11-08T13:17:23Z</cp:lastPrinted>
  <dcterms:created xsi:type="dcterms:W3CDTF">2007-05-23T16:50:29Z</dcterms:created>
  <dcterms:modified xsi:type="dcterms:W3CDTF">2019-11-14T17:04:25Z</dcterms:modified>
</cp:coreProperties>
</file>