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Planilha1!$A$1:$BT$54</definedName>
    <definedName name="Excel_BuiltIn_Print_Area_1">Planilha1!$A$1:$BT$53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M54" i="1" l="1"/>
  <c r="M50" i="1"/>
  <c r="M30" i="1" l="1"/>
  <c r="M35" i="1"/>
  <c r="H5" i="1"/>
  <c r="M21" i="1"/>
  <c r="M20" i="1"/>
  <c r="M5" i="1"/>
  <c r="BO21" i="1"/>
  <c r="C21" i="1"/>
  <c r="G21" i="1" s="1"/>
  <c r="H21" i="1" s="1"/>
  <c r="L21" i="1" s="1"/>
  <c r="N21" i="1" s="1"/>
  <c r="C20" i="1"/>
  <c r="G20" i="1" s="1"/>
  <c r="H20" i="1" s="1"/>
  <c r="L20" i="1" s="1"/>
  <c r="N20" i="1" s="1"/>
  <c r="BO20" i="1"/>
  <c r="G5" i="1"/>
  <c r="BJ5" i="1"/>
  <c r="C5" i="1"/>
  <c r="G50" i="1" l="1"/>
  <c r="J50" i="1" s="1"/>
  <c r="E50" i="1"/>
  <c r="M22" i="1"/>
  <c r="M19" i="1"/>
  <c r="AS9" i="1"/>
  <c r="M23" i="1"/>
  <c r="M7" i="1"/>
  <c r="M8" i="1"/>
  <c r="M9" i="1"/>
  <c r="M10" i="1"/>
  <c r="M11" i="1"/>
  <c r="M12" i="1"/>
  <c r="M13" i="1"/>
  <c r="M14" i="1"/>
  <c r="M15" i="1"/>
  <c r="M16" i="1"/>
  <c r="M17" i="1"/>
  <c r="M18" i="1"/>
  <c r="M6" i="1"/>
  <c r="E8" i="1"/>
  <c r="E9" i="1"/>
  <c r="BU23" i="1"/>
  <c r="E23" i="1"/>
  <c r="E22" i="1"/>
  <c r="E19" i="1"/>
  <c r="E18" i="1"/>
  <c r="E17" i="1"/>
  <c r="E16" i="1"/>
  <c r="E15" i="1"/>
  <c r="E14" i="1"/>
  <c r="E13" i="1"/>
  <c r="E12" i="1"/>
  <c r="E11" i="1"/>
  <c r="E10" i="1"/>
  <c r="E6" i="1"/>
  <c r="G6" i="1" s="1"/>
  <c r="J6" i="1" s="1"/>
  <c r="B32" i="1" l="1"/>
  <c r="BT32" i="1" s="1"/>
  <c r="B40" i="1"/>
  <c r="D24" i="1"/>
  <c r="D31" i="1" s="1"/>
  <c r="E24" i="1"/>
  <c r="F24" i="1"/>
  <c r="H24" i="1"/>
  <c r="I24" i="1"/>
  <c r="K24" i="1"/>
  <c r="O24" i="1"/>
  <c r="Q24" i="1"/>
  <c r="S24" i="1"/>
  <c r="T24" i="1"/>
  <c r="U24" i="1"/>
  <c r="V24" i="1"/>
  <c r="Z24" i="1"/>
  <c r="AA24" i="1"/>
  <c r="AB24" i="1"/>
  <c r="AC24" i="1"/>
  <c r="AE24" i="1"/>
  <c r="AF24" i="1"/>
  <c r="AG24" i="1"/>
  <c r="AH24" i="1"/>
  <c r="AL24" i="1"/>
  <c r="AM24" i="1"/>
  <c r="AN24" i="1"/>
  <c r="AO24" i="1"/>
  <c r="AQ24" i="1"/>
  <c r="AR24" i="1"/>
  <c r="AS24" i="1"/>
  <c r="AT24" i="1"/>
  <c r="AX24" i="1"/>
  <c r="AY24" i="1"/>
  <c r="AZ24" i="1"/>
  <c r="BA24" i="1"/>
  <c r="BC24" i="1"/>
  <c r="BD24" i="1"/>
  <c r="BE24" i="1"/>
  <c r="BF24" i="1"/>
  <c r="BI24" i="1"/>
  <c r="BJ24" i="1"/>
  <c r="BK24" i="1"/>
  <c r="BL24" i="1"/>
  <c r="BM24" i="1"/>
  <c r="BN24" i="1"/>
  <c r="BO24" i="1"/>
  <c r="BP24" i="1"/>
  <c r="BQ24" i="1"/>
  <c r="BR24" i="1"/>
  <c r="BS24" i="1"/>
  <c r="C24" i="1"/>
  <c r="AJ23" i="1"/>
  <c r="AV23" i="1"/>
  <c r="BH23" i="1"/>
  <c r="BG23" i="1"/>
  <c r="AU23" i="1"/>
  <c r="AP23" i="1"/>
  <c r="AI23" i="1"/>
  <c r="AD23" i="1"/>
  <c r="W23" i="1"/>
  <c r="G23" i="1"/>
  <c r="J23" i="1" s="1"/>
  <c r="L23" i="1" s="1"/>
  <c r="P23" i="1" s="1"/>
  <c r="B20" i="1"/>
  <c r="B24" i="1" s="1"/>
  <c r="R23" i="1" l="1"/>
  <c r="X23" i="1"/>
  <c r="F33" i="1"/>
  <c r="F34" i="1" s="1"/>
  <c r="B34" i="1"/>
  <c r="BT23" i="1"/>
  <c r="BV23" i="1" s="1"/>
  <c r="AC33" i="1"/>
  <c r="E35" i="1" l="1"/>
  <c r="G35" i="1" s="1"/>
  <c r="J35" i="1" s="1"/>
  <c r="L35" i="1" s="1"/>
  <c r="R35" i="1"/>
  <c r="U35" i="1" s="1"/>
  <c r="W35" i="1" s="1"/>
  <c r="AB35" i="1" s="1"/>
  <c r="X35" i="1"/>
  <c r="AJ35" i="1"/>
  <c r="BT35" i="1"/>
  <c r="B45" i="1"/>
  <c r="E45" i="1" l="1"/>
  <c r="AD35" i="1"/>
  <c r="BH21" i="1"/>
  <c r="BH20" i="1"/>
  <c r="AV21" i="1"/>
  <c r="AV20" i="1"/>
  <c r="AJ21" i="1"/>
  <c r="AJ20" i="1"/>
  <c r="X21" i="1"/>
  <c r="X20" i="1"/>
  <c r="BT21" i="1" l="1"/>
  <c r="BT20" i="1"/>
  <c r="AG35" i="1"/>
  <c r="AI35" i="1"/>
  <c r="BH30" i="1"/>
  <c r="AV30" i="1"/>
  <c r="AJ30" i="1"/>
  <c r="BT54" i="1"/>
  <c r="BH50" i="1"/>
  <c r="AV50" i="1"/>
  <c r="AJ50" i="1"/>
  <c r="AN35" i="1" l="1"/>
  <c r="AP35" i="1"/>
  <c r="AZ35" i="1" s="1"/>
  <c r="BB35" i="1" s="1"/>
  <c r="AJ5" i="1"/>
  <c r="BH5" i="1"/>
  <c r="AV5" i="1"/>
  <c r="BH22" i="1"/>
  <c r="AV22" i="1"/>
  <c r="AJ22" i="1"/>
  <c r="BH19" i="1"/>
  <c r="AV19" i="1"/>
  <c r="AJ19" i="1"/>
  <c r="BH18" i="1"/>
  <c r="AV18" i="1"/>
  <c r="AJ18" i="1"/>
  <c r="BH17" i="1"/>
  <c r="AV17" i="1"/>
  <c r="AJ17" i="1"/>
  <c r="BH16" i="1"/>
  <c r="AV16" i="1"/>
  <c r="AJ16" i="1"/>
  <c r="BH15" i="1"/>
  <c r="BB15" i="1"/>
  <c r="AV15" i="1"/>
  <c r="AJ15" i="1"/>
  <c r="BH14" i="1"/>
  <c r="AV14" i="1"/>
  <c r="AJ14" i="1"/>
  <c r="BH13" i="1"/>
  <c r="AV13" i="1"/>
  <c r="AJ13" i="1"/>
  <c r="BH12" i="1"/>
  <c r="AV12" i="1"/>
  <c r="AJ12" i="1"/>
  <c r="BH11" i="1"/>
  <c r="AV11" i="1"/>
  <c r="AJ11" i="1"/>
  <c r="BH10" i="1"/>
  <c r="AV10" i="1"/>
  <c r="AJ10" i="1"/>
  <c r="BH9" i="1"/>
  <c r="AV9" i="1"/>
  <c r="AJ9" i="1"/>
  <c r="G8" i="1"/>
  <c r="J8" i="1" s="1"/>
  <c r="BH8" i="1"/>
  <c r="AV8" i="1"/>
  <c r="AJ8" i="1"/>
  <c r="BH7" i="1"/>
  <c r="AV7" i="1"/>
  <c r="AP7" i="1"/>
  <c r="AJ7" i="1"/>
  <c r="BH6" i="1"/>
  <c r="AV6" i="1"/>
  <c r="AJ6" i="1"/>
  <c r="BH24" i="1" l="1"/>
  <c r="AJ24" i="1"/>
  <c r="AV24" i="1"/>
  <c r="BE35" i="1"/>
  <c r="BG35" i="1"/>
  <c r="BL35" i="1" s="1"/>
  <c r="BH54" i="1"/>
  <c r="AV54" i="1" l="1"/>
  <c r="AJ54" i="1" l="1"/>
  <c r="AJ25" i="1"/>
  <c r="AU25" i="1"/>
  <c r="X54" i="1" l="1"/>
  <c r="Q45" i="1" l="1"/>
  <c r="G30" i="1" l="1"/>
  <c r="J30" i="1" s="1"/>
  <c r="L30" i="1" s="1"/>
  <c r="P30" i="1" s="1"/>
  <c r="X30" i="1" s="1"/>
  <c r="BT30" i="1" l="1"/>
  <c r="E54" i="1"/>
  <c r="G54" i="1" s="1"/>
  <c r="J54" i="1" s="1"/>
  <c r="L54" i="1" s="1"/>
  <c r="P54" i="1" l="1"/>
  <c r="T31" i="1" l="1"/>
  <c r="BQ51" i="1"/>
  <c r="D51" i="1"/>
  <c r="E51" i="1"/>
  <c r="F51" i="1"/>
  <c r="B51" i="1"/>
  <c r="B41" i="1" l="1"/>
  <c r="B53" i="1"/>
  <c r="F53" i="1"/>
  <c r="C31" i="1"/>
  <c r="C51" i="1"/>
  <c r="E52" i="1" s="1"/>
  <c r="E53" i="1" s="1"/>
  <c r="BT45" i="1"/>
  <c r="K41" i="1"/>
  <c r="K51" i="1"/>
  <c r="I51" i="1"/>
  <c r="K52" i="1" s="1"/>
  <c r="I31" i="1"/>
  <c r="M31" i="1" s="1"/>
  <c r="M33" i="1" s="1"/>
  <c r="M34" i="1" s="1"/>
  <c r="B42" i="1" l="1"/>
  <c r="B44" i="1"/>
  <c r="E33" i="1"/>
  <c r="G31" i="1"/>
  <c r="J31" i="1" s="1"/>
  <c r="M51" i="1"/>
  <c r="G51" i="1"/>
  <c r="K53" i="1"/>
  <c r="K33" i="1"/>
  <c r="K34" i="1" s="1"/>
  <c r="M52" i="1"/>
  <c r="M53" i="1" s="1"/>
  <c r="BG25" i="1"/>
  <c r="BB25" i="1"/>
  <c r="AV25" i="1"/>
  <c r="AP25" i="1"/>
  <c r="X25" i="1"/>
  <c r="BH25" i="1" l="1"/>
  <c r="Y21" i="1" l="1"/>
  <c r="AO40" i="1"/>
  <c r="Y54" i="1"/>
  <c r="R30" i="1"/>
  <c r="F45" i="1"/>
  <c r="E40" i="1"/>
  <c r="G7" i="1"/>
  <c r="G15" i="1"/>
  <c r="J15" i="1" s="1"/>
  <c r="G22" i="1"/>
  <c r="J22" i="1" s="1"/>
  <c r="G19" i="1"/>
  <c r="J19" i="1" s="1"/>
  <c r="L19" i="1" s="1"/>
  <c r="P19" i="1" s="1"/>
  <c r="X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E34" i="1"/>
  <c r="AH40" i="1"/>
  <c r="Q40" i="1"/>
  <c r="BU51" i="1"/>
  <c r="BR51" i="1"/>
  <c r="BR53" i="1" s="1"/>
  <c r="BP51" i="1"/>
  <c r="BM51" i="1"/>
  <c r="BK51" i="1"/>
  <c r="BU50" i="1"/>
  <c r="BS50" i="1"/>
  <c r="BR44" i="1"/>
  <c r="BM44" i="1"/>
  <c r="BV41" i="1"/>
  <c r="BU41" i="1"/>
  <c r="BS41" i="1"/>
  <c r="BS44" i="1" s="1"/>
  <c r="BN41" i="1"/>
  <c r="BN44" i="1" s="1"/>
  <c r="BF45" i="1"/>
  <c r="BA45" i="1"/>
  <c r="AT45" i="1"/>
  <c r="AO45" i="1"/>
  <c r="AH45" i="1"/>
  <c r="AC45" i="1"/>
  <c r="V45" i="1"/>
  <c r="X45" i="1" s="1"/>
  <c r="K45" i="1"/>
  <c r="BQ40" i="1"/>
  <c r="BF40" i="1"/>
  <c r="BA40" i="1"/>
  <c r="AT40" i="1"/>
  <c r="AC40" i="1"/>
  <c r="K40" i="1"/>
  <c r="K43" i="1" s="1"/>
  <c r="F40" i="1"/>
  <c r="BR34" i="1"/>
  <c r="BM34" i="1"/>
  <c r="V40" i="1"/>
  <c r="BU5" i="1"/>
  <c r="BU6" i="1"/>
  <c r="BU18" i="1"/>
  <c r="BU19" i="1"/>
  <c r="BU20" i="1"/>
  <c r="BU22" i="1"/>
  <c r="BU30" i="1"/>
  <c r="M25" i="1"/>
  <c r="BT25" i="1" s="1"/>
  <c r="J40" i="1"/>
  <c r="J7" i="1" l="1"/>
  <c r="G24" i="1"/>
  <c r="M40" i="1"/>
  <c r="M45" i="1"/>
  <c r="G45" i="1"/>
  <c r="J45" i="1" s="1"/>
  <c r="L45" i="1" s="1"/>
  <c r="M24" i="1"/>
  <c r="J24" i="1"/>
  <c r="J51" i="1" s="1"/>
  <c r="J41" i="1" s="1"/>
  <c r="J43" i="1" s="1"/>
  <c r="BU24" i="1"/>
  <c r="AV45" i="1"/>
  <c r="AJ45" i="1"/>
  <c r="L11" i="1"/>
  <c r="P11" i="1" s="1"/>
  <c r="X11" i="1" s="1"/>
  <c r="L15" i="1"/>
  <c r="P15" i="1" s="1"/>
  <c r="X15" i="1" s="1"/>
  <c r="L8" i="1"/>
  <c r="P8" i="1" s="1"/>
  <c r="X8" i="1" s="1"/>
  <c r="L12" i="1"/>
  <c r="P12" i="1" s="1"/>
  <c r="X12" i="1" s="1"/>
  <c r="L17" i="1"/>
  <c r="P17" i="1" s="1"/>
  <c r="X17" i="1" s="1"/>
  <c r="L7" i="1"/>
  <c r="P7" i="1" s="1"/>
  <c r="X7" i="1" s="1"/>
  <c r="L5" i="1"/>
  <c r="N5" i="1" s="1"/>
  <c r="G40" i="1"/>
  <c r="L16" i="1"/>
  <c r="P16" i="1" s="1"/>
  <c r="X16" i="1" s="1"/>
  <c r="Y16" i="1" s="1"/>
  <c r="L13" i="1"/>
  <c r="P13" i="1" s="1"/>
  <c r="X13" i="1" s="1"/>
  <c r="L18" i="1"/>
  <c r="P18" i="1" s="1"/>
  <c r="X18" i="1" s="1"/>
  <c r="Y18" i="1" s="1"/>
  <c r="L22" i="1"/>
  <c r="P22" i="1" s="1"/>
  <c r="X22" i="1" s="1"/>
  <c r="Y22" i="1" s="1"/>
  <c r="L10" i="1"/>
  <c r="P10" i="1" s="1"/>
  <c r="X10" i="1" s="1"/>
  <c r="L14" i="1"/>
  <c r="P14" i="1" s="1"/>
  <c r="X14" i="1" s="1"/>
  <c r="BH45" i="1"/>
  <c r="Y45" i="1"/>
  <c r="L9" i="1"/>
  <c r="P9" i="1" s="1"/>
  <c r="X9" i="1" s="1"/>
  <c r="Y20" i="1"/>
  <c r="Y13" i="1"/>
  <c r="AK54" i="1"/>
  <c r="AW54" i="1" s="1"/>
  <c r="Y15" i="1"/>
  <c r="Y30" i="1"/>
  <c r="AK30" i="1" s="1"/>
  <c r="AW30" i="1" s="1"/>
  <c r="Y9" i="1"/>
  <c r="Y25" i="1"/>
  <c r="R54" i="1"/>
  <c r="W54" i="1" s="1"/>
  <c r="BU40" i="1"/>
  <c r="BU44" i="1" s="1"/>
  <c r="L50" i="1"/>
  <c r="P50" i="1" s="1"/>
  <c r="BU53" i="1"/>
  <c r="Y19" i="1"/>
  <c r="Y11" i="1"/>
  <c r="X50" i="1" l="1"/>
  <c r="N24" i="1"/>
  <c r="X5" i="1"/>
  <c r="AB54" i="1"/>
  <c r="AD54" i="1"/>
  <c r="AG54" i="1" s="1"/>
  <c r="AI54" i="1" s="1"/>
  <c r="H51" i="1"/>
  <c r="R8" i="1"/>
  <c r="R19" i="1"/>
  <c r="R15" i="1"/>
  <c r="R18" i="1"/>
  <c r="R17" i="1"/>
  <c r="R20" i="1"/>
  <c r="R10" i="1"/>
  <c r="R7" i="1"/>
  <c r="R12" i="1"/>
  <c r="R11" i="1"/>
  <c r="R22" i="1"/>
  <c r="R16" i="1"/>
  <c r="R14" i="1"/>
  <c r="R13" i="1"/>
  <c r="P40" i="1"/>
  <c r="R50" i="1"/>
  <c r="W30" i="1"/>
  <c r="E41" i="1"/>
  <c r="Y50" i="1"/>
  <c r="L40" i="1"/>
  <c r="AK45" i="1"/>
  <c r="AW45" i="1" s="1"/>
  <c r="R9" i="1"/>
  <c r="AK25" i="1"/>
  <c r="AW25" i="1" s="1"/>
  <c r="BI30" i="1"/>
  <c r="E43" i="1" l="1"/>
  <c r="E44" i="1" s="1"/>
  <c r="BT5" i="1"/>
  <c r="Y5" i="1"/>
  <c r="J52" i="1"/>
  <c r="J53" i="1" s="1"/>
  <c r="H31" i="1"/>
  <c r="L31" i="1" s="1"/>
  <c r="P31" i="1" s="1"/>
  <c r="L51" i="1"/>
  <c r="AD30" i="1"/>
  <c r="W16" i="1"/>
  <c r="W10" i="1"/>
  <c r="W22" i="1"/>
  <c r="W20" i="1"/>
  <c r="W21" i="1"/>
  <c r="W7" i="1"/>
  <c r="W13" i="1"/>
  <c r="W14" i="1"/>
  <c r="W11" i="1"/>
  <c r="W17" i="1"/>
  <c r="W19" i="1"/>
  <c r="W15" i="1"/>
  <c r="W12" i="1"/>
  <c r="W18" i="1"/>
  <c r="W8" i="1"/>
  <c r="N51" i="1"/>
  <c r="W9" i="1"/>
  <c r="R45" i="1"/>
  <c r="L6" i="1"/>
  <c r="R40" i="1"/>
  <c r="AN54" i="1"/>
  <c r="AP54" i="1" s="1"/>
  <c r="AS54" i="1" s="1"/>
  <c r="AU54" i="1" s="1"/>
  <c r="AZ54" i="1" s="1"/>
  <c r="R5" i="1"/>
  <c r="W50" i="1"/>
  <c r="AB40" i="1" s="1"/>
  <c r="U40" i="1"/>
  <c r="W40" i="1" s="1"/>
  <c r="L24" i="1" l="1"/>
  <c r="P6" i="1"/>
  <c r="J33" i="1"/>
  <c r="J34" i="1" s="1"/>
  <c r="X40" i="1"/>
  <c r="Y40" i="1" s="1"/>
  <c r="L41" i="1"/>
  <c r="AI30" i="1"/>
  <c r="W45" i="1"/>
  <c r="U45" i="1"/>
  <c r="AD9" i="1"/>
  <c r="AI9" i="1" s="1"/>
  <c r="AD7" i="1"/>
  <c r="AI7" i="1" s="1"/>
  <c r="BB54" i="1"/>
  <c r="BI45" i="1"/>
  <c r="AD50" i="1"/>
  <c r="AI50" i="1" s="1"/>
  <c r="P24" i="1" l="1"/>
  <c r="P51" i="1" s="1"/>
  <c r="X6" i="1"/>
  <c r="X24" i="1" s="1"/>
  <c r="R6" i="1"/>
  <c r="R24" i="1" s="1"/>
  <c r="P41" i="1"/>
  <c r="P43" i="1" s="1"/>
  <c r="AP30" i="1"/>
  <c r="AU30" i="1" s="1"/>
  <c r="BB30" i="1" s="1"/>
  <c r="BG30" i="1" s="1"/>
  <c r="BE54" i="1"/>
  <c r="BG54" i="1" s="1"/>
  <c r="BL54" i="1" s="1"/>
  <c r="AD45" i="1"/>
  <c r="AG45" i="1" s="1"/>
  <c r="AI45" i="1" s="1"/>
  <c r="AB45" i="1"/>
  <c r="AP50" i="1"/>
  <c r="AU50" i="1" s="1"/>
  <c r="AU7" i="1"/>
  <c r="AP9" i="1"/>
  <c r="AK21" i="1"/>
  <c r="AK15" i="1"/>
  <c r="AK22" i="1"/>
  <c r="AW22" i="1" s="1"/>
  <c r="AD16" i="1"/>
  <c r="AD14" i="1"/>
  <c r="AD18" i="1"/>
  <c r="AD13" i="1"/>
  <c r="AD21" i="1"/>
  <c r="AD15" i="1"/>
  <c r="AD22" i="1"/>
  <c r="AK18" i="1"/>
  <c r="AK20" i="1"/>
  <c r="AK11" i="1"/>
  <c r="AK16" i="1"/>
  <c r="AW16" i="1" s="1"/>
  <c r="AK13" i="1"/>
  <c r="AK19" i="1"/>
  <c r="AW19" i="1" s="1"/>
  <c r="AK9" i="1"/>
  <c r="AW9" i="1" s="1"/>
  <c r="AD20" i="1"/>
  <c r="AD19" i="1"/>
  <c r="AD12" i="1"/>
  <c r="AD10" i="1"/>
  <c r="AD11" i="1"/>
  <c r="AD8" i="1"/>
  <c r="AD17" i="1"/>
  <c r="AK50" i="1"/>
  <c r="Y6" i="1"/>
  <c r="Y24" i="1" s="1"/>
  <c r="AD40" i="1"/>
  <c r="W5" i="1"/>
  <c r="BV54" i="1"/>
  <c r="BI54" i="1"/>
  <c r="AG40" i="1"/>
  <c r="AJ40" i="1" s="1"/>
  <c r="P52" i="1" l="1"/>
  <c r="P53" i="1" s="1"/>
  <c r="AI40" i="1"/>
  <c r="BV30" i="1"/>
  <c r="BV34" i="1" s="1"/>
  <c r="AN40" i="1"/>
  <c r="AN45" i="1"/>
  <c r="AS45" i="1" s="1"/>
  <c r="AU45" i="1" s="1"/>
  <c r="BB45" i="1" s="1"/>
  <c r="BE45" i="1" s="1"/>
  <c r="BG45" i="1" s="1"/>
  <c r="AP45" i="1"/>
  <c r="BB50" i="1"/>
  <c r="AZ40" i="1"/>
  <c r="AI22" i="1"/>
  <c r="AI21" i="1"/>
  <c r="AI20" i="1"/>
  <c r="AI19" i="1"/>
  <c r="AI18" i="1"/>
  <c r="AI17" i="1"/>
  <c r="AP17" i="1" s="1"/>
  <c r="AI16" i="1"/>
  <c r="AI15" i="1"/>
  <c r="AI14" i="1"/>
  <c r="AI13" i="1"/>
  <c r="AI12" i="1"/>
  <c r="AI11" i="1"/>
  <c r="AI10" i="1"/>
  <c r="AU9" i="1"/>
  <c r="AI8" i="1"/>
  <c r="AP8" i="1" s="1"/>
  <c r="BB7" i="1"/>
  <c r="W6" i="1"/>
  <c r="W24" i="1" s="1"/>
  <c r="AW50" i="1"/>
  <c r="AW15" i="1"/>
  <c r="AK40" i="1"/>
  <c r="AK5" i="1"/>
  <c r="AW5" i="1" l="1"/>
  <c r="AZ45" i="1"/>
  <c r="BG50" i="1"/>
  <c r="BE40" i="1"/>
  <c r="BH40" i="1" s="1"/>
  <c r="AP22" i="1"/>
  <c r="AP19" i="1"/>
  <c r="AU17" i="1"/>
  <c r="AP16" i="1"/>
  <c r="AP14" i="1"/>
  <c r="BB9" i="1"/>
  <c r="BG9" i="1" s="1"/>
  <c r="BT9" i="1" s="1"/>
  <c r="AU8" i="1"/>
  <c r="BG7" i="1"/>
  <c r="BT7" i="1" s="1"/>
  <c r="AW21" i="1"/>
  <c r="AP21" i="1"/>
  <c r="AW18" i="1"/>
  <c r="AP18" i="1"/>
  <c r="AP15" i="1"/>
  <c r="AP20" i="1"/>
  <c r="AW20" i="1"/>
  <c r="AW13" i="1"/>
  <c r="AP13" i="1"/>
  <c r="AP12" i="1"/>
  <c r="AW11" i="1"/>
  <c r="AP11" i="1"/>
  <c r="AP10" i="1"/>
  <c r="AK6" i="1"/>
  <c r="AW6" i="1" s="1"/>
  <c r="AB51" i="1"/>
  <c r="AD6" i="1"/>
  <c r="AD5" i="1"/>
  <c r="AS40" i="1"/>
  <c r="AV40" i="1" s="1"/>
  <c r="AP40" i="1"/>
  <c r="AD24" i="1" l="1"/>
  <c r="AK24" i="1"/>
  <c r="AW24" i="1"/>
  <c r="BT50" i="1"/>
  <c r="BL40" i="1"/>
  <c r="BT40" i="1" s="1"/>
  <c r="AU22" i="1"/>
  <c r="AU21" i="1"/>
  <c r="AU20" i="1"/>
  <c r="AU19" i="1"/>
  <c r="BB19" i="1" s="1"/>
  <c r="AU18" i="1"/>
  <c r="BB17" i="1"/>
  <c r="BG17" i="1" s="1"/>
  <c r="BT17" i="1" s="1"/>
  <c r="AU16" i="1"/>
  <c r="BB16" i="1" s="1"/>
  <c r="AU15" i="1"/>
  <c r="AU14" i="1"/>
  <c r="BB14" i="1" s="1"/>
  <c r="AU13" i="1"/>
  <c r="AU12" i="1"/>
  <c r="AU11" i="1"/>
  <c r="AU10" i="1"/>
  <c r="BB10" i="1" s="1"/>
  <c r="BB8" i="1"/>
  <c r="AW40" i="1"/>
  <c r="AU40" i="1"/>
  <c r="BB22" i="1" l="1"/>
  <c r="BG19" i="1"/>
  <c r="BT19" i="1" s="1"/>
  <c r="BB18" i="1"/>
  <c r="BG16" i="1"/>
  <c r="BT16" i="1" s="1"/>
  <c r="BG15" i="1"/>
  <c r="BT15" i="1" s="1"/>
  <c r="BG14" i="1"/>
  <c r="BT14" i="1" s="1"/>
  <c r="BB13" i="1"/>
  <c r="BB12" i="1"/>
  <c r="BB11" i="1"/>
  <c r="BG11" i="1" s="1"/>
  <c r="BT11" i="1" s="1"/>
  <c r="BG10" i="1"/>
  <c r="BT10" i="1" s="1"/>
  <c r="BG8" i="1"/>
  <c r="BT8" i="1" s="1"/>
  <c r="AG51" i="1"/>
  <c r="AI6" i="1"/>
  <c r="BG40" i="1"/>
  <c r="AI5" i="1"/>
  <c r="BI50" i="1"/>
  <c r="BB40" i="1"/>
  <c r="AI24" i="1" l="1"/>
  <c r="BG22" i="1"/>
  <c r="BG21" i="1"/>
  <c r="BG20" i="1"/>
  <c r="BV19" i="1"/>
  <c r="BG18" i="1"/>
  <c r="BT18" i="1" s="1"/>
  <c r="BG13" i="1"/>
  <c r="BT13" i="1" s="1"/>
  <c r="BG12" i="1"/>
  <c r="BT12" i="1" s="1"/>
  <c r="BN50" i="1"/>
  <c r="BV50" i="1"/>
  <c r="BI40" i="1"/>
  <c r="BT22" i="1" l="1"/>
  <c r="BV20" i="1"/>
  <c r="BV18" i="1"/>
  <c r="AN51" i="1"/>
  <c r="AP6" i="1"/>
  <c r="AP5" i="1"/>
  <c r="AP24" i="1" s="1"/>
  <c r="AL51" i="1"/>
  <c r="BV40" i="1"/>
  <c r="BV44" i="1" s="1"/>
  <c r="V51" i="1"/>
  <c r="BU31" i="1"/>
  <c r="BF51" i="1"/>
  <c r="T51" i="1"/>
  <c r="BN31" i="1"/>
  <c r="BN34" i="1" s="1"/>
  <c r="AT51" i="1"/>
  <c r="AT41" i="1" s="1"/>
  <c r="AE51" i="1"/>
  <c r="AG52" i="1" s="1"/>
  <c r="Q51" i="1"/>
  <c r="AR51" i="1"/>
  <c r="AR31" i="1" s="1"/>
  <c r="BO51" i="1"/>
  <c r="BA51" i="1"/>
  <c r="BD51" i="1"/>
  <c r="O51" i="1"/>
  <c r="O31" i="1" s="1"/>
  <c r="BF41" i="1"/>
  <c r="F41" i="1"/>
  <c r="AO51" i="1"/>
  <c r="N31" i="1"/>
  <c r="P33" i="1" s="1"/>
  <c r="P34" i="1" s="1"/>
  <c r="BS31" i="1"/>
  <c r="BS34" i="1" s="1"/>
  <c r="AY51" i="1"/>
  <c r="Q41" i="1"/>
  <c r="S51" i="1"/>
  <c r="AC51" i="1"/>
  <c r="AC41" i="1" s="1"/>
  <c r="V41" i="1"/>
  <c r="AA51" i="1"/>
  <c r="AF51" i="1"/>
  <c r="BQ41" i="1"/>
  <c r="BQ43" i="1" s="1"/>
  <c r="AH51" i="1"/>
  <c r="AM51" i="1"/>
  <c r="AM31" i="1" s="1"/>
  <c r="Z51" i="1"/>
  <c r="AB52" i="1" s="1"/>
  <c r="BA41" i="1"/>
  <c r="M41" i="1" l="1"/>
  <c r="M43" i="1" s="1"/>
  <c r="M44" i="1" s="1"/>
  <c r="F43" i="1"/>
  <c r="F44" i="1" s="1"/>
  <c r="BO31" i="1"/>
  <c r="BQ33" i="1" s="1"/>
  <c r="BQ52" i="1"/>
  <c r="AN52" i="1"/>
  <c r="AJ51" i="1"/>
  <c r="AJ52" i="1" s="1"/>
  <c r="AL31" i="1"/>
  <c r="AN33" i="1" s="1"/>
  <c r="R31" i="1"/>
  <c r="BV22" i="1"/>
  <c r="AO41" i="1"/>
  <c r="AH41" i="1"/>
  <c r="AD51" i="1"/>
  <c r="G41" i="1"/>
  <c r="R51" i="1"/>
  <c r="BD31" i="1"/>
  <c r="BS51" i="1"/>
  <c r="BS53" i="1" s="1"/>
  <c r="Q52" i="1"/>
  <c r="AF31" i="1"/>
  <c r="AA31" i="1"/>
  <c r="Z31" i="1"/>
  <c r="AB33" i="1" s="1"/>
  <c r="AE31" i="1"/>
  <c r="AG33" i="1" s="1"/>
  <c r="AI51" i="1"/>
  <c r="AP51" i="1"/>
  <c r="S31" i="1"/>
  <c r="AY31" i="1"/>
  <c r="K44" i="1" l="1"/>
  <c r="J44" i="1"/>
  <c r="P44" i="1" s="1"/>
  <c r="X31" i="1"/>
  <c r="X33" i="1" s="1"/>
  <c r="X34" i="1" s="1"/>
  <c r="U33" i="1"/>
  <c r="AJ31" i="1"/>
  <c r="AJ33" i="1" s="1"/>
  <c r="W31" i="1"/>
  <c r="AB41" i="1" s="1"/>
  <c r="AS51" i="1"/>
  <c r="AU6" i="1"/>
  <c r="Q33" i="1"/>
  <c r="Q34" i="1" s="1"/>
  <c r="V33" i="1" s="1"/>
  <c r="Y31" i="1"/>
  <c r="Y34" i="1" s="1"/>
  <c r="AU5" i="1"/>
  <c r="AU24" i="1" s="1"/>
  <c r="AQ51" i="1"/>
  <c r="Q53" i="1"/>
  <c r="V52" i="1" s="1"/>
  <c r="U34" i="1" l="1"/>
  <c r="AB34" i="1" s="1"/>
  <c r="AG34" i="1" s="1"/>
  <c r="AN34" i="1" s="1"/>
  <c r="AJ34" i="1"/>
  <c r="AS52" i="1"/>
  <c r="AB43" i="1"/>
  <c r="AV51" i="1"/>
  <c r="AV52" i="1" s="1"/>
  <c r="AD41" i="1"/>
  <c r="Q43" i="1"/>
  <c r="Q44" i="1" s="1"/>
  <c r="V43" i="1" s="1"/>
  <c r="V44" i="1" s="1"/>
  <c r="AC43" i="1" s="1"/>
  <c r="AC44" i="1" s="1"/>
  <c r="V53" i="1"/>
  <c r="V34" i="1"/>
  <c r="AQ31" i="1"/>
  <c r="AS33" i="1" s="1"/>
  <c r="AU51" i="1"/>
  <c r="AK31" i="1"/>
  <c r="AS34" i="1" l="1"/>
  <c r="AV31" i="1"/>
  <c r="AC34" i="1"/>
  <c r="AH33" i="1" s="1"/>
  <c r="AH34" i="1" s="1"/>
  <c r="BB5" i="1"/>
  <c r="AX51" i="1"/>
  <c r="BB6" i="1"/>
  <c r="AZ51" i="1"/>
  <c r="AC52" i="1"/>
  <c r="AC53" i="1" s="1"/>
  <c r="AH43" i="1"/>
  <c r="AH44" i="1" s="1"/>
  <c r="U41" i="1"/>
  <c r="AK34" i="1"/>
  <c r="BB24" i="1" l="1"/>
  <c r="AV33" i="1"/>
  <c r="AV34" i="1" s="1"/>
  <c r="U43" i="1"/>
  <c r="U44" i="1" s="1"/>
  <c r="AB44" i="1" s="1"/>
  <c r="X41" i="1"/>
  <c r="X43" i="1" s="1"/>
  <c r="X44" i="1" s="1"/>
  <c r="AZ52" i="1"/>
  <c r="BC51" i="1"/>
  <c r="AO33" i="1"/>
  <c r="AO34" i="1" s="1"/>
  <c r="AT33" i="1" s="1"/>
  <c r="AT34" i="1" s="1"/>
  <c r="U51" i="1"/>
  <c r="R41" i="1"/>
  <c r="AH52" i="1"/>
  <c r="AH53" i="1" s="1"/>
  <c r="AO43" i="1"/>
  <c r="AO44" i="1" s="1"/>
  <c r="AX31" i="1"/>
  <c r="AZ33" i="1" s="1"/>
  <c r="BB51" i="1"/>
  <c r="W41" i="1"/>
  <c r="AD31" i="1"/>
  <c r="U52" i="1" l="1"/>
  <c r="X51" i="1"/>
  <c r="AZ34" i="1"/>
  <c r="U53" i="1"/>
  <c r="AB53" i="1" s="1"/>
  <c r="W51" i="1"/>
  <c r="BG5" i="1"/>
  <c r="AO52" i="1"/>
  <c r="AO53" i="1" s="1"/>
  <c r="Y41" i="1"/>
  <c r="Y44" i="1" s="1"/>
  <c r="BE51" i="1"/>
  <c r="BH51" i="1" s="1"/>
  <c r="BH52" i="1" s="1"/>
  <c r="BG6" i="1"/>
  <c r="AT43" i="1"/>
  <c r="AT44" i="1" s="1"/>
  <c r="BC31" i="1"/>
  <c r="BE33" i="1" s="1"/>
  <c r="AG41" i="1"/>
  <c r="AI31" i="1"/>
  <c r="BG24" i="1" l="1"/>
  <c r="BE34" i="1"/>
  <c r="X52" i="1"/>
  <c r="AG53" i="1"/>
  <c r="AN53" i="1" s="1"/>
  <c r="AS53" i="1" s="1"/>
  <c r="AZ53" i="1" s="1"/>
  <c r="BH31" i="1"/>
  <c r="AG43" i="1"/>
  <c r="AG44" i="1" s="1"/>
  <c r="AJ41" i="1"/>
  <c r="AJ43" i="1" s="1"/>
  <c r="AJ44" i="1" s="1"/>
  <c r="BE52" i="1"/>
  <c r="Y51" i="1"/>
  <c r="Y53" i="1" s="1"/>
  <c r="BJ51" i="1"/>
  <c r="AW31" i="1"/>
  <c r="AW34" i="1" s="1"/>
  <c r="BG51" i="1"/>
  <c r="AT52" i="1"/>
  <c r="AT53" i="1" s="1"/>
  <c r="AN41" i="1"/>
  <c r="AN43" i="1" s="1"/>
  <c r="AP31" i="1"/>
  <c r="AI41" i="1"/>
  <c r="X53" i="1" l="1"/>
  <c r="AJ53" i="1" s="1"/>
  <c r="AV53" i="1" s="1"/>
  <c r="BH53" i="1" s="1"/>
  <c r="BE53" i="1"/>
  <c r="BH33" i="1"/>
  <c r="BH34" i="1" s="1"/>
  <c r="AN44" i="1"/>
  <c r="AK41" i="1"/>
  <c r="AK44" i="1" s="1"/>
  <c r="AK51" i="1"/>
  <c r="AK53" i="1" s="1"/>
  <c r="BA33" i="1"/>
  <c r="BA34" i="1" s="1"/>
  <c r="BF33" i="1" s="1"/>
  <c r="BF34" i="1" s="1"/>
  <c r="BA52" i="1"/>
  <c r="BL51" i="1"/>
  <c r="BL52" i="1" s="1"/>
  <c r="BT6" i="1"/>
  <c r="BT24" i="1" s="1"/>
  <c r="BJ31" i="1"/>
  <c r="BL33" i="1" s="1"/>
  <c r="BV5" i="1"/>
  <c r="AS41" i="1"/>
  <c r="AU31" i="1"/>
  <c r="AP41" i="1"/>
  <c r="BT51" i="1" l="1"/>
  <c r="BT52" i="1" s="1"/>
  <c r="BT53" i="1" s="1"/>
  <c r="BL53" i="1"/>
  <c r="BQ53" i="1" s="1"/>
  <c r="BT31" i="1"/>
  <c r="BL34" i="1"/>
  <c r="BQ34" i="1" s="1"/>
  <c r="AV41" i="1"/>
  <c r="AV43" i="1" s="1"/>
  <c r="AV44" i="1" s="1"/>
  <c r="AS43" i="1"/>
  <c r="AS44" i="1" s="1"/>
  <c r="AW51" i="1"/>
  <c r="AW53" i="1" s="1"/>
  <c r="BN51" i="1"/>
  <c r="BA53" i="1"/>
  <c r="BA43" i="1"/>
  <c r="BA44" i="1" s="1"/>
  <c r="BV6" i="1"/>
  <c r="BV24" i="1" s="1"/>
  <c r="BE41" i="1"/>
  <c r="BE43" i="1" s="1"/>
  <c r="AU41" i="1"/>
  <c r="AZ41" i="1"/>
  <c r="AZ43" i="1" s="1"/>
  <c r="BT34" i="1" l="1"/>
  <c r="AW41" i="1"/>
  <c r="AW44" i="1" s="1"/>
  <c r="AZ44" i="1"/>
  <c r="BE44" i="1" s="1"/>
  <c r="BV53" i="1"/>
  <c r="BI51" i="1"/>
  <c r="BI53" i="1" s="1"/>
  <c r="BH41" i="1"/>
  <c r="BH43" i="1" s="1"/>
  <c r="BH44" i="1" s="1"/>
  <c r="BB31" i="1"/>
  <c r="BG31" i="1" s="1"/>
  <c r="BF43" i="1"/>
  <c r="BF44" i="1" s="1"/>
  <c r="BF52" i="1"/>
  <c r="BF53" i="1" s="1"/>
  <c r="BM52" i="1" s="1"/>
  <c r="BM53" i="1" s="1"/>
  <c r="BV31" i="1"/>
  <c r="BU34" i="1" s="1"/>
  <c r="BV51" i="1"/>
  <c r="BG41" i="1"/>
  <c r="BI31" i="1"/>
  <c r="BI34" i="1" s="1"/>
  <c r="BB41" i="1"/>
  <c r="BL41" i="1" l="1"/>
  <c r="BL43" i="1" s="1"/>
  <c r="BL44" i="1" s="1"/>
  <c r="BQ44" i="1" s="1"/>
  <c r="BI41" i="1"/>
  <c r="BI44" i="1" s="1"/>
  <c r="BT41" i="1" l="1"/>
  <c r="BT43" i="1" s="1"/>
  <c r="BT44" i="1" s="1"/>
</calcChain>
</file>

<file path=xl/sharedStrings.xml><?xml version="1.0" encoding="utf-8"?>
<sst xmlns="http://schemas.openxmlformats.org/spreadsheetml/2006/main" count="501" uniqueCount="58">
  <si>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</si>
  <si>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</si>
  <si>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</si>
  <si>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</si>
  <si>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</si>
  <si>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</si>
  <si>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</si>
  <si>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</si>
  <si>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</si>
  <si>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</si>
  <si>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</si>
  <si>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</si>
  <si>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</si>
  <si>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</si>
  <si>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</si>
  <si>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</si>
  <si>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</si>
  <si>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</si>
  <si>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</si>
  <si>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</si>
  <si>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</si>
  <si>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</si>
  <si>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</si>
  <si>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</si>
  <si>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</si>
  <si>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</si>
  <si>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</si>
  <si>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</si>
  <si>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</si>
  <si>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</si>
  <si>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</si>
  <si>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</si>
  <si>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</si>
  <si>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</si>
  <si>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</si>
  <si>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</si>
  <si>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</si>
  <si>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</si>
  <si>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</si>
  <si>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</si>
  <si>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</si>
  <si>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</si>
  <si>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</si>
  <si>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</si>
  <si>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</si>
  <si>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</si>
  <si>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</si>
  <si>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</si>
  <si>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</si>
  <si>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</si>
  <si>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</si>
  <si>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</si>
  <si>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</si>
  <si>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</si>
  <si>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</si>
  <si>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20. CAGEM</t>
  </si>
  <si>
    <t>Emendas Rec 20 e 40</t>
  </si>
  <si>
    <t>ANEXO II - PROGRAMAÇÃO FINANCEIRA/ORÇAMENTÁRIA DE DESEMBOLSO –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</si>
</sst>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8"/>
  <sheetViews>
    <sheetView tabSelected="1" zoomScale="120" zoomScaleNormal="120" zoomScaleSheetLayoutView="62" workbookViewId="0">
      <pane xSplit="2" ySplit="4" topLeftCell="C5" activePane="bottomRight" state="frozen"/>
      <selection pane="topRight" activeCell="AN1" sqref="AN1"/>
      <selection pane="bottomLeft" activeCell="A5" sqref="A5"/>
      <selection pane="bottomRight" activeCell="J45" sqref="J45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hidden="1" customWidth="1"/>
    <col min="16" max="16" width="12.28515625" style="20" customWidth="1"/>
    <col min="17" max="18" width="12.85546875" style="19" hidden="1" customWidth="1"/>
    <col min="19" max="19" width="10.7109375" style="19" customWidth="1"/>
    <col min="20" max="20" width="11.28515625" style="24" hidden="1" customWidth="1"/>
    <col min="21" max="21" width="12" style="24" customWidth="1"/>
    <col min="22" max="22" width="12" style="20" hidden="1" customWidth="1"/>
    <col min="23" max="23" width="11.5703125" style="20" hidden="1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hidden="1" customWidth="1"/>
    <col min="28" max="28" width="12.85546875" style="24" customWidth="1"/>
    <col min="29" max="29" width="12.85546875" style="24" hidden="1" customWidth="1"/>
    <col min="30" max="30" width="11.5703125" style="24" hidden="1" customWidth="1"/>
    <col min="31" max="31" width="12.85546875" style="24" customWidth="1"/>
    <col min="32" max="32" width="11.5703125" style="24" hidden="1" customWidth="1"/>
    <col min="33" max="33" width="12.85546875" style="24" customWidth="1"/>
    <col min="34" max="35" width="12.85546875" style="20" hidden="1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hidden="1" customWidth="1"/>
    <col min="40" max="40" width="12.5703125" style="20" customWidth="1"/>
    <col min="41" max="41" width="11.42578125" style="20" hidden="1" customWidth="1"/>
    <col min="42" max="42" width="12.85546875" style="20" hidden="1" customWidth="1"/>
    <col min="43" max="43" width="11.7109375" style="20" customWidth="1"/>
    <col min="44" max="44" width="10.5703125" style="24" hidden="1" customWidth="1"/>
    <col min="45" max="45" width="12.85546875" style="24" customWidth="1"/>
    <col min="46" max="47" width="12.85546875" style="20" hidden="1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hidden="1" customWidth="1"/>
    <col min="52" max="52" width="12.85546875" style="20" customWidth="1"/>
    <col min="53" max="53" width="12.85546875" style="20" hidden="1" customWidth="1"/>
    <col min="54" max="54" width="12" style="20" hidden="1" customWidth="1"/>
    <col min="55" max="55" width="12.85546875" style="20" customWidth="1"/>
    <col min="56" max="56" width="11.7109375" style="24" hidden="1" customWidth="1"/>
    <col min="57" max="57" width="12.85546875" style="24" customWidth="1"/>
    <col min="58" max="58" width="11" style="24" hidden="1" customWidth="1"/>
    <col min="59" max="59" width="12" style="24" hidden="1" customWidth="1"/>
    <col min="60" max="60" width="11" style="16" customWidth="1"/>
    <col min="61" max="61" width="12.85546875" style="24" hidden="1" customWidth="1"/>
    <col min="62" max="62" width="13.42578125" style="24" customWidth="1"/>
    <col min="63" max="63" width="12.85546875" style="20" hidden="1" customWidth="1"/>
    <col min="64" max="64" width="15" style="20" customWidth="1"/>
    <col min="65" max="66" width="12.85546875" style="20" hidden="1" customWidth="1"/>
    <col min="67" max="67" width="12.5703125" style="20" customWidth="1"/>
    <col min="68" max="68" width="12.85546875" style="24" hidden="1" customWidth="1"/>
    <col min="69" max="69" width="13.5703125" style="24" customWidth="1"/>
    <col min="70" max="71" width="0" style="24" hidden="1" customWidth="1"/>
    <col min="72" max="72" width="13.85546875" style="24" customWidth="1"/>
    <col min="73" max="74" width="7.7109375" style="24" hidden="1" customWidth="1"/>
    <col min="75" max="75" width="11.42578125" style="19" customWidth="1"/>
    <col min="76" max="76" width="9.42578125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0" t="s">
        <v>57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 t="s">
        <v>57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29"/>
      <c r="AL1" s="51" t="s">
        <v>57</v>
      </c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29"/>
      <c r="BJ1" s="51" t="s">
        <v>57</v>
      </c>
      <c r="BK1" s="51"/>
      <c r="BL1" s="51"/>
      <c r="BM1" s="51"/>
      <c r="BN1" s="51"/>
      <c r="BO1" s="51"/>
      <c r="BP1" s="51"/>
      <c r="BQ1" s="51"/>
      <c r="BR1" s="51"/>
      <c r="BS1" s="51"/>
      <c r="BT1" s="52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6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6" t="s">
        <v>7</v>
      </c>
      <c r="Y2" s="56" t="s">
        <v>8</v>
      </c>
      <c r="Z2" s="53" t="s">
        <v>9</v>
      </c>
      <c r="AA2" s="53"/>
      <c r="AB2" s="53"/>
      <c r="AC2" s="53"/>
      <c r="AD2" s="53"/>
      <c r="AE2" s="53" t="s">
        <v>10</v>
      </c>
      <c r="AF2" s="53"/>
      <c r="AG2" s="53"/>
      <c r="AH2" s="53"/>
      <c r="AI2" s="53"/>
      <c r="AJ2" s="56" t="s">
        <v>11</v>
      </c>
      <c r="AK2" s="56" t="s">
        <v>8</v>
      </c>
      <c r="AL2" s="53" t="s">
        <v>12</v>
      </c>
      <c r="AM2" s="53"/>
      <c r="AN2" s="53"/>
      <c r="AO2" s="53"/>
      <c r="AP2" s="53"/>
      <c r="AQ2" s="53" t="s">
        <v>13</v>
      </c>
      <c r="AR2" s="53"/>
      <c r="AS2" s="53"/>
      <c r="AT2" s="53"/>
      <c r="AU2" s="53"/>
      <c r="AV2" s="56" t="s">
        <v>14</v>
      </c>
      <c r="AW2" s="56" t="s">
        <v>8</v>
      </c>
      <c r="AX2" s="53" t="s">
        <v>15</v>
      </c>
      <c r="AY2" s="53"/>
      <c r="AZ2" s="53"/>
      <c r="BA2" s="53"/>
      <c r="BB2" s="53"/>
      <c r="BC2" s="53" t="s">
        <v>16</v>
      </c>
      <c r="BD2" s="53"/>
      <c r="BE2" s="53"/>
      <c r="BF2" s="53"/>
      <c r="BG2" s="53"/>
      <c r="BH2" s="56" t="s">
        <v>17</v>
      </c>
      <c r="BI2" s="56" t="s">
        <v>8</v>
      </c>
      <c r="BJ2" s="53" t="s">
        <v>18</v>
      </c>
      <c r="BK2" s="53"/>
      <c r="BL2" s="53"/>
      <c r="BM2" s="53"/>
      <c r="BN2" s="53"/>
      <c r="BO2" s="53" t="s">
        <v>19</v>
      </c>
      <c r="BP2" s="53"/>
      <c r="BQ2" s="53"/>
      <c r="BR2" s="53"/>
      <c r="BS2" s="53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6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6"/>
      <c r="Y3" s="56"/>
      <c r="Z3" s="53" t="s">
        <v>21</v>
      </c>
      <c r="AA3" s="53"/>
      <c r="AB3" s="53" t="s">
        <v>22</v>
      </c>
      <c r="AC3" s="53"/>
      <c r="AD3" s="53" t="s">
        <v>23</v>
      </c>
      <c r="AE3" s="53" t="s">
        <v>21</v>
      </c>
      <c r="AF3" s="53"/>
      <c r="AG3" s="53" t="s">
        <v>22</v>
      </c>
      <c r="AH3" s="53"/>
      <c r="AI3" s="53" t="s">
        <v>23</v>
      </c>
      <c r="AJ3" s="56"/>
      <c r="AK3" s="56"/>
      <c r="AL3" s="53" t="s">
        <v>21</v>
      </c>
      <c r="AM3" s="53"/>
      <c r="AN3" s="53" t="s">
        <v>22</v>
      </c>
      <c r="AO3" s="53"/>
      <c r="AP3" s="53" t="s">
        <v>23</v>
      </c>
      <c r="AQ3" s="53" t="s">
        <v>21</v>
      </c>
      <c r="AR3" s="53"/>
      <c r="AS3" s="53" t="s">
        <v>22</v>
      </c>
      <c r="AT3" s="53"/>
      <c r="AU3" s="53" t="s">
        <v>23</v>
      </c>
      <c r="AV3" s="56"/>
      <c r="AW3" s="56"/>
      <c r="AX3" s="53" t="s">
        <v>21</v>
      </c>
      <c r="AY3" s="53"/>
      <c r="AZ3" s="53" t="s">
        <v>22</v>
      </c>
      <c r="BA3" s="53"/>
      <c r="BB3" s="53" t="s">
        <v>23</v>
      </c>
      <c r="BC3" s="53" t="s">
        <v>21</v>
      </c>
      <c r="BD3" s="53"/>
      <c r="BE3" s="53" t="s">
        <v>22</v>
      </c>
      <c r="BF3" s="53"/>
      <c r="BG3" s="53" t="s">
        <v>23</v>
      </c>
      <c r="BH3" s="56"/>
      <c r="BI3" s="56"/>
      <c r="BJ3" s="53" t="s">
        <v>21</v>
      </c>
      <c r="BK3" s="53"/>
      <c r="BL3" s="53" t="s">
        <v>22</v>
      </c>
      <c r="BM3" s="53"/>
      <c r="BN3" s="53"/>
      <c r="BO3" s="53" t="s">
        <v>21</v>
      </c>
      <c r="BP3" s="53"/>
      <c r="BQ3" s="53" t="s">
        <v>22</v>
      </c>
      <c r="BR3" s="53"/>
      <c r="BS3" s="53"/>
      <c r="BT3" s="54" t="s">
        <v>41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6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6"/>
      <c r="Y4" s="56"/>
      <c r="Z4" s="1" t="s">
        <v>24</v>
      </c>
      <c r="AA4" s="1" t="s">
        <v>25</v>
      </c>
      <c r="AB4" s="1" t="s">
        <v>24</v>
      </c>
      <c r="AC4" s="1" t="s">
        <v>25</v>
      </c>
      <c r="AD4" s="53"/>
      <c r="AE4" s="1" t="s">
        <v>24</v>
      </c>
      <c r="AF4" s="1" t="s">
        <v>25</v>
      </c>
      <c r="AG4" s="1" t="s">
        <v>24</v>
      </c>
      <c r="AH4" s="1" t="s">
        <v>25</v>
      </c>
      <c r="AI4" s="53"/>
      <c r="AJ4" s="56"/>
      <c r="AK4" s="56"/>
      <c r="AL4" s="1" t="s">
        <v>24</v>
      </c>
      <c r="AM4" s="1" t="s">
        <v>25</v>
      </c>
      <c r="AN4" s="1" t="s">
        <v>24</v>
      </c>
      <c r="AO4" s="1" t="s">
        <v>25</v>
      </c>
      <c r="AP4" s="53"/>
      <c r="AQ4" s="1" t="s">
        <v>24</v>
      </c>
      <c r="AR4" s="1" t="s">
        <v>25</v>
      </c>
      <c r="AS4" s="1" t="s">
        <v>24</v>
      </c>
      <c r="AT4" s="1" t="s">
        <v>25</v>
      </c>
      <c r="AU4" s="53"/>
      <c r="AV4" s="56"/>
      <c r="AW4" s="56"/>
      <c r="AX4" s="1" t="s">
        <v>24</v>
      </c>
      <c r="AY4" s="1" t="s">
        <v>25</v>
      </c>
      <c r="AZ4" s="1" t="s">
        <v>24</v>
      </c>
      <c r="BA4" s="1" t="s">
        <v>25</v>
      </c>
      <c r="BB4" s="53"/>
      <c r="BC4" s="1" t="s">
        <v>24</v>
      </c>
      <c r="BD4" s="1" t="s">
        <v>25</v>
      </c>
      <c r="BE4" s="1" t="s">
        <v>24</v>
      </c>
      <c r="BF4" s="1" t="s">
        <v>25</v>
      </c>
      <c r="BG4" s="53"/>
      <c r="BH4" s="56"/>
      <c r="BI4" s="56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5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25128812.059999999</v>
      </c>
      <c r="C5" s="6">
        <f>3000000+80000</f>
        <v>3080000</v>
      </c>
      <c r="D5" s="6">
        <v>3072268.41</v>
      </c>
      <c r="E5" s="6"/>
      <c r="F5" s="6"/>
      <c r="G5" s="6">
        <f>C5-D5</f>
        <v>7731.589999999851</v>
      </c>
      <c r="H5" s="6">
        <f>2800000+G5</f>
        <v>2807731.59</v>
      </c>
      <c r="I5" s="6">
        <v>2600064.23</v>
      </c>
      <c r="J5" s="6"/>
      <c r="K5" s="6"/>
      <c r="L5" s="6">
        <f>H5-I5</f>
        <v>207667.35999999987</v>
      </c>
      <c r="M5" s="7">
        <f>SUM(D5+I5)</f>
        <v>5672332.6400000006</v>
      </c>
      <c r="N5" s="6">
        <f>2800000+L5</f>
        <v>3007667.36</v>
      </c>
      <c r="O5" s="6"/>
      <c r="P5" s="6"/>
      <c r="Q5" s="6"/>
      <c r="R5" s="6">
        <f>N5-O5</f>
        <v>3007667.36</v>
      </c>
      <c r="S5" s="6">
        <v>2800000</v>
      </c>
      <c r="T5" s="6"/>
      <c r="U5" s="6"/>
      <c r="V5" s="6"/>
      <c r="W5" s="6">
        <f>S5-T5</f>
        <v>2800000</v>
      </c>
      <c r="X5" s="9">
        <f>N5+S5</f>
        <v>5807667.3599999994</v>
      </c>
      <c r="Y5" s="8">
        <f t="shared" ref="Y5:Y22" si="0">M5+X5</f>
        <v>11480000</v>
      </c>
      <c r="Z5" s="8">
        <v>2200000</v>
      </c>
      <c r="AA5" s="8"/>
      <c r="AB5" s="8"/>
      <c r="AC5" s="8"/>
      <c r="AD5" s="8">
        <f>Z5-AA5</f>
        <v>2200000</v>
      </c>
      <c r="AE5" s="8">
        <v>2200000</v>
      </c>
      <c r="AF5" s="8"/>
      <c r="AG5" s="8"/>
      <c r="AH5" s="8"/>
      <c r="AI5" s="8">
        <f>AE5-AF5</f>
        <v>2200000</v>
      </c>
      <c r="AJ5" s="7">
        <f>Z5+AE5</f>
        <v>4400000</v>
      </c>
      <c r="AK5" s="8">
        <f t="shared" ref="AK5:AK22" si="1">Y5+AJ5</f>
        <v>15880000</v>
      </c>
      <c r="AL5" s="8">
        <v>1800000</v>
      </c>
      <c r="AM5" s="8"/>
      <c r="AN5" s="8"/>
      <c r="AO5" s="8"/>
      <c r="AP5" s="8">
        <f>AL5-AM5</f>
        <v>1800000</v>
      </c>
      <c r="AQ5" s="8">
        <v>1800000</v>
      </c>
      <c r="AR5" s="8"/>
      <c r="AS5" s="8"/>
      <c r="AT5" s="8"/>
      <c r="AU5" s="8">
        <f>AQ5-AR5</f>
        <v>1800000</v>
      </c>
      <c r="AV5" s="7">
        <f>AL5+AQ5</f>
        <v>3600000</v>
      </c>
      <c r="AW5" s="10">
        <f t="shared" ref="AW5:AW22" si="2">AK5+AV5</f>
        <v>19480000</v>
      </c>
      <c r="AX5" s="8">
        <v>1800000</v>
      </c>
      <c r="AY5" s="8"/>
      <c r="AZ5" s="8"/>
      <c r="BA5" s="8"/>
      <c r="BB5" s="8">
        <f>AX5-AY5</f>
        <v>1800000</v>
      </c>
      <c r="BC5" s="8">
        <v>1800000</v>
      </c>
      <c r="BD5" s="8"/>
      <c r="BE5" s="8"/>
      <c r="BF5" s="8"/>
      <c r="BG5" s="8">
        <f>BC5-BD5</f>
        <v>1800000</v>
      </c>
      <c r="BH5" s="7">
        <f>AX5+BC5</f>
        <v>3600000</v>
      </c>
      <c r="BI5" s="10"/>
      <c r="BJ5" s="8">
        <f>1600000-80000</f>
        <v>1520000</v>
      </c>
      <c r="BK5" s="8"/>
      <c r="BL5" s="8"/>
      <c r="BM5" s="8"/>
      <c r="BN5" s="8"/>
      <c r="BO5" s="8">
        <v>528812.06000000006</v>
      </c>
      <c r="BP5" s="8"/>
      <c r="BQ5" s="8"/>
      <c r="BR5" s="8"/>
      <c r="BS5" s="10"/>
      <c r="BT5" s="9">
        <f>M5+X5+AJ5+AV5+BH5+BJ5+BO5</f>
        <v>25128812.059999999</v>
      </c>
      <c r="BU5" s="9">
        <f>F5+K5+Q5+V5+AC5+AH5+AO5+AT5+BA5+BF5+BM5+BR5</f>
        <v>0</v>
      </c>
      <c r="BV5" s="11">
        <f>BT5-BU5</f>
        <v>25128812.059999999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42</v>
      </c>
      <c r="B6" s="5">
        <v>22173400</v>
      </c>
      <c r="C6" s="6"/>
      <c r="D6" s="7"/>
      <c r="E6" s="6">
        <f>1486970.37+400268.37</f>
        <v>1887238.7400000002</v>
      </c>
      <c r="F6" s="6">
        <v>1560972.46</v>
      </c>
      <c r="G6" s="6">
        <f>E6-F6</f>
        <v>326266.28000000026</v>
      </c>
      <c r="H6" s="12"/>
      <c r="I6" s="6"/>
      <c r="J6" s="6">
        <f>1608059.32+G6</f>
        <v>1934325.6000000003</v>
      </c>
      <c r="K6" s="6">
        <v>1619823.67</v>
      </c>
      <c r="L6" s="6">
        <f>J6-K6</f>
        <v>314501.9300000004</v>
      </c>
      <c r="M6" s="7">
        <f>F6+K6</f>
        <v>3180796.13</v>
      </c>
      <c r="N6" s="13"/>
      <c r="O6" s="13"/>
      <c r="P6" s="6">
        <f>1754448.1+L6</f>
        <v>2068950.0300000005</v>
      </c>
      <c r="Q6" s="6"/>
      <c r="R6" s="6">
        <f>P6-Q6</f>
        <v>2068950.0300000005</v>
      </c>
      <c r="S6" s="12"/>
      <c r="T6" s="12"/>
      <c r="U6" s="6">
        <v>1807065.57</v>
      </c>
      <c r="V6" s="6"/>
      <c r="W6" s="6">
        <f>U6-V6</f>
        <v>1807065.57</v>
      </c>
      <c r="X6" s="9">
        <f t="shared" ref="X6:X23" si="3">P6+U6</f>
        <v>3876015.6000000006</v>
      </c>
      <c r="Y6" s="8">
        <f t="shared" si="0"/>
        <v>7056811.7300000004</v>
      </c>
      <c r="Z6" s="8"/>
      <c r="AA6" s="8"/>
      <c r="AB6" s="8">
        <v>1794581.96</v>
      </c>
      <c r="AC6" s="8"/>
      <c r="AD6" s="8">
        <f>AB6-AC6</f>
        <v>1794581.96</v>
      </c>
      <c r="AE6" s="10"/>
      <c r="AF6" s="10"/>
      <c r="AG6" s="8">
        <v>1721343.22</v>
      </c>
      <c r="AH6" s="8"/>
      <c r="AI6" s="8">
        <f t="shared" ref="AI6:AI23" si="4">AG6-AH6</f>
        <v>1721343.22</v>
      </c>
      <c r="AJ6" s="7">
        <f t="shared" ref="AJ6:AJ23" si="5">AB6+AG6</f>
        <v>3515925.1799999997</v>
      </c>
      <c r="AK6" s="8">
        <f t="shared" si="1"/>
        <v>10572736.91</v>
      </c>
      <c r="AL6" s="10"/>
      <c r="AM6" s="8"/>
      <c r="AN6" s="8">
        <v>1800657.46</v>
      </c>
      <c r="AO6" s="8"/>
      <c r="AP6" s="8">
        <f>AN6-AO6</f>
        <v>1800657.46</v>
      </c>
      <c r="AQ6" s="10"/>
      <c r="AR6" s="10"/>
      <c r="AS6" s="8">
        <v>1888597.18</v>
      </c>
      <c r="AT6" s="8"/>
      <c r="AU6" s="8">
        <f>AS6-AT6</f>
        <v>1888597.18</v>
      </c>
      <c r="AV6" s="7">
        <f t="shared" ref="AV6:AV23" si="6">AN6+AS6</f>
        <v>3689254.6399999997</v>
      </c>
      <c r="AW6" s="10">
        <f t="shared" si="2"/>
        <v>14261991.550000001</v>
      </c>
      <c r="AX6" s="10"/>
      <c r="AY6" s="10"/>
      <c r="AZ6" s="8">
        <v>1717174.62</v>
      </c>
      <c r="BA6" s="8"/>
      <c r="BB6" s="8">
        <f>AZ6-BA6</f>
        <v>1717174.62</v>
      </c>
      <c r="BC6" s="10"/>
      <c r="BD6" s="10"/>
      <c r="BE6" s="8">
        <v>1736132.87</v>
      </c>
      <c r="BF6" s="8"/>
      <c r="BG6" s="8">
        <f>BE6-BF6</f>
        <v>1736132.87</v>
      </c>
      <c r="BH6" s="7">
        <f t="shared" ref="BH6:BH23" si="7">AZ6+BE6</f>
        <v>3453307.49</v>
      </c>
      <c r="BI6" s="10"/>
      <c r="BJ6" s="10"/>
      <c r="BK6" s="10"/>
      <c r="BL6" s="8">
        <v>1796400.17</v>
      </c>
      <c r="BM6" s="8"/>
      <c r="BN6" s="10"/>
      <c r="BO6" s="10"/>
      <c r="BP6" s="10"/>
      <c r="BQ6" s="8">
        <v>3061969.16</v>
      </c>
      <c r="BR6" s="8"/>
      <c r="BS6" s="10"/>
      <c r="BT6" s="9">
        <f>M6+X6+AJ6+AV6+BH6+BL6+BQ6</f>
        <v>22573668.370000001</v>
      </c>
      <c r="BU6" s="9">
        <f>F6+K6+Q6+V6+AC6+AH6+AO6+AT6+BA6+BF6+BM6+BR6</f>
        <v>3180796.13</v>
      </c>
      <c r="BV6" s="11">
        <f>BT6-BU6</f>
        <v>19392872.240000002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37</v>
      </c>
      <c r="B7" s="5">
        <v>5251200</v>
      </c>
      <c r="C7" s="6"/>
      <c r="D7" s="7"/>
      <c r="E7" s="6">
        <v>352150.74</v>
      </c>
      <c r="F7" s="6">
        <v>345836.48</v>
      </c>
      <c r="G7" s="6">
        <f t="shared" ref="G7:G23" si="8">E7-F7</f>
        <v>6314.2600000000093</v>
      </c>
      <c r="H7" s="12"/>
      <c r="I7" s="6"/>
      <c r="J7" s="6">
        <f>380827.52+G7</f>
        <v>387141.78</v>
      </c>
      <c r="K7" s="6">
        <v>330238.53000000003</v>
      </c>
      <c r="L7" s="6">
        <f t="shared" ref="L7:L23" si="9">J7-K7</f>
        <v>56903.25</v>
      </c>
      <c r="M7" s="7">
        <f t="shared" ref="M7:M18" si="10">F7+K7</f>
        <v>676075.01</v>
      </c>
      <c r="N7" s="13"/>
      <c r="O7" s="13"/>
      <c r="P7" s="6">
        <f>415495.95+L7</f>
        <v>472399.2</v>
      </c>
      <c r="Q7" s="6"/>
      <c r="R7" s="6">
        <f t="shared" ref="R7:R23" si="11">P7-Q7</f>
        <v>472399.2</v>
      </c>
      <c r="S7" s="12"/>
      <c r="T7" s="12"/>
      <c r="U7" s="6">
        <v>427957.05</v>
      </c>
      <c r="V7" s="6"/>
      <c r="W7" s="6">
        <f>U7-V7</f>
        <v>427957.05</v>
      </c>
      <c r="X7" s="9">
        <f t="shared" si="3"/>
        <v>900356.25</v>
      </c>
      <c r="Y7" s="8"/>
      <c r="Z7" s="8"/>
      <c r="AA7" s="8"/>
      <c r="AB7" s="8">
        <v>425000.62</v>
      </c>
      <c r="AC7" s="8"/>
      <c r="AD7" s="8">
        <f t="shared" ref="AD7:AD23" si="12">AB7-AC7</f>
        <v>425000.62</v>
      </c>
      <c r="AE7" s="10"/>
      <c r="AF7" s="10"/>
      <c r="AG7" s="8">
        <v>407655.9</v>
      </c>
      <c r="AH7" s="8"/>
      <c r="AI7" s="8">
        <f t="shared" si="4"/>
        <v>407655.9</v>
      </c>
      <c r="AJ7" s="7">
        <f t="shared" si="5"/>
        <v>832656.52</v>
      </c>
      <c r="AK7" s="8"/>
      <c r="AL7" s="10"/>
      <c r="AM7" s="8"/>
      <c r="AN7" s="8">
        <v>426439.45</v>
      </c>
      <c r="AO7" s="8"/>
      <c r="AP7" s="8">
        <f>AN7-AO7</f>
        <v>426439.45</v>
      </c>
      <c r="AQ7" s="10"/>
      <c r="AR7" s="10"/>
      <c r="AS7" s="8">
        <v>447265.71</v>
      </c>
      <c r="AT7" s="8"/>
      <c r="AU7" s="8">
        <f t="shared" ref="AU7:AU23" si="13">AS7-AT7</f>
        <v>447265.71</v>
      </c>
      <c r="AV7" s="7">
        <f t="shared" si="6"/>
        <v>873705.16</v>
      </c>
      <c r="AW7" s="10"/>
      <c r="AX7" s="10"/>
      <c r="AY7" s="10"/>
      <c r="AZ7" s="8">
        <v>406668.68</v>
      </c>
      <c r="BA7" s="8"/>
      <c r="BB7" s="8">
        <f t="shared" ref="BB7:BB22" si="14">AZ7-BA7</f>
        <v>406668.68</v>
      </c>
      <c r="BC7" s="10"/>
      <c r="BD7" s="10"/>
      <c r="BE7" s="8">
        <v>411158.46</v>
      </c>
      <c r="BF7" s="8"/>
      <c r="BG7" s="8">
        <f t="shared" ref="BG7:BG23" si="15">BE7-BF7</f>
        <v>411158.46</v>
      </c>
      <c r="BH7" s="9">
        <f t="shared" si="7"/>
        <v>817827.14</v>
      </c>
      <c r="BI7" s="10"/>
      <c r="BJ7" s="10"/>
      <c r="BK7" s="10"/>
      <c r="BL7" s="8">
        <v>425431.21</v>
      </c>
      <c r="BM7" s="8"/>
      <c r="BN7" s="10"/>
      <c r="BO7" s="10"/>
      <c r="BP7" s="10"/>
      <c r="BQ7" s="8">
        <v>725148.71</v>
      </c>
      <c r="BR7" s="8"/>
      <c r="BS7" s="10"/>
      <c r="BT7" s="9">
        <f t="shared" ref="BT7:BT23" si="16">M7+X7+AJ7+AV7+BH7+BL7+BQ7</f>
        <v>5251200.0000000009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38</v>
      </c>
      <c r="B8" s="5">
        <v>34487754.82</v>
      </c>
      <c r="C8" s="6"/>
      <c r="D8" s="7"/>
      <c r="E8" s="6">
        <f>2312783.35+257857.75</f>
        <v>2570641.1</v>
      </c>
      <c r="F8" s="6">
        <v>973017.35</v>
      </c>
      <c r="G8" s="6">
        <f t="shared" si="8"/>
        <v>1597623.75</v>
      </c>
      <c r="H8" s="12"/>
      <c r="I8" s="6"/>
      <c r="J8" s="6">
        <f>2501120.95+G8+14700</f>
        <v>4113444.7</v>
      </c>
      <c r="K8" s="6">
        <v>1003006.96</v>
      </c>
      <c r="L8" s="6">
        <f t="shared" si="9"/>
        <v>3110437.74</v>
      </c>
      <c r="M8" s="7">
        <f t="shared" si="10"/>
        <v>1976024.31</v>
      </c>
      <c r="N8" s="13"/>
      <c r="O8" s="13"/>
      <c r="P8" s="6">
        <f>2728809.11+L8</f>
        <v>5839246.8499999996</v>
      </c>
      <c r="Q8" s="6"/>
      <c r="R8" s="6">
        <f t="shared" si="11"/>
        <v>5839246.8499999996</v>
      </c>
      <c r="S8" s="12"/>
      <c r="T8" s="12"/>
      <c r="U8" s="6">
        <v>2810648.55</v>
      </c>
      <c r="V8" s="6"/>
      <c r="W8" s="6">
        <f t="shared" ref="W8:W23" si="17">U8-V8</f>
        <v>2810648.55</v>
      </c>
      <c r="X8" s="9">
        <f t="shared" si="3"/>
        <v>8649895.3999999985</v>
      </c>
      <c r="Y8" s="8"/>
      <c r="Z8" s="8"/>
      <c r="AA8" s="8"/>
      <c r="AB8" s="8">
        <v>2791231.95</v>
      </c>
      <c r="AC8" s="8"/>
      <c r="AD8" s="8">
        <f t="shared" si="12"/>
        <v>2791231.95</v>
      </c>
      <c r="AE8" s="10"/>
      <c r="AF8" s="10"/>
      <c r="AG8" s="8">
        <v>2677318.9</v>
      </c>
      <c r="AH8" s="8"/>
      <c r="AI8" s="8">
        <f>AG8-AH8</f>
        <v>2677318.9</v>
      </c>
      <c r="AJ8" s="9">
        <f t="shared" si="5"/>
        <v>5468550.8499999996</v>
      </c>
      <c r="AK8" s="8"/>
      <c r="AL8" s="10"/>
      <c r="AM8" s="8"/>
      <c r="AN8" s="8">
        <v>2800681.59</v>
      </c>
      <c r="AO8" s="8"/>
      <c r="AP8" s="8">
        <f t="shared" ref="AP8:AP23" si="18">AN8-AO8</f>
        <v>2800681.59</v>
      </c>
      <c r="AQ8" s="10"/>
      <c r="AR8" s="10"/>
      <c r="AS8" s="8">
        <v>2937460.02</v>
      </c>
      <c r="AT8" s="8"/>
      <c r="AU8" s="8">
        <f t="shared" si="13"/>
        <v>2937460.02</v>
      </c>
      <c r="AV8" s="9">
        <f t="shared" si="6"/>
        <v>5738141.6099999994</v>
      </c>
      <c r="AW8" s="10"/>
      <c r="AX8" s="10"/>
      <c r="AY8" s="10"/>
      <c r="AZ8" s="8">
        <v>2670835.2000000002</v>
      </c>
      <c r="BA8" s="8"/>
      <c r="BB8" s="8">
        <f t="shared" si="14"/>
        <v>2670835.2000000002</v>
      </c>
      <c r="BC8" s="10"/>
      <c r="BD8" s="10"/>
      <c r="BE8" s="8">
        <v>2700322.22</v>
      </c>
      <c r="BF8" s="8"/>
      <c r="BG8" s="8">
        <f t="shared" si="15"/>
        <v>2700322.22</v>
      </c>
      <c r="BH8" s="9">
        <f t="shared" si="7"/>
        <v>5371157.4199999999</v>
      </c>
      <c r="BI8" s="10"/>
      <c r="BJ8" s="10"/>
      <c r="BK8" s="10"/>
      <c r="BL8" s="8">
        <v>2794059.94</v>
      </c>
      <c r="BM8" s="8"/>
      <c r="BN8" s="10"/>
      <c r="BO8" s="10"/>
      <c r="BP8" s="10"/>
      <c r="BQ8" s="8">
        <v>4762483.04</v>
      </c>
      <c r="BR8" s="8"/>
      <c r="BS8" s="10"/>
      <c r="BT8" s="9">
        <f>M8+X8+AJ8+AV8+BH8+BL8+BQ8</f>
        <v>34760312.57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28</v>
      </c>
      <c r="B9" s="5">
        <v>19713000</v>
      </c>
      <c r="C9" s="6"/>
      <c r="D9" s="7"/>
      <c r="E9" s="6">
        <f>1321973.49+280000</f>
        <v>1601973.49</v>
      </c>
      <c r="F9" s="6">
        <v>1498155.27</v>
      </c>
      <c r="G9" s="6">
        <f t="shared" si="8"/>
        <v>103818.21999999997</v>
      </c>
      <c r="H9" s="12"/>
      <c r="I9" s="6"/>
      <c r="J9" s="6">
        <f>1429626.19+G9-14700+80000</f>
        <v>1598744.41</v>
      </c>
      <c r="K9" s="6">
        <v>1598381.64</v>
      </c>
      <c r="L9" s="6">
        <f t="shared" si="9"/>
        <v>362.77000000001863</v>
      </c>
      <c r="M9" s="7">
        <f t="shared" si="10"/>
        <v>3096536.91</v>
      </c>
      <c r="N9" s="13"/>
      <c r="O9" s="13"/>
      <c r="P9" s="6">
        <f>1559771.41+L9</f>
        <v>1560134.18</v>
      </c>
      <c r="Q9" s="6"/>
      <c r="R9" s="6">
        <f t="shared" si="11"/>
        <v>1560134.18</v>
      </c>
      <c r="S9" s="12"/>
      <c r="T9" s="12"/>
      <c r="U9" s="6">
        <v>1606550.36</v>
      </c>
      <c r="V9" s="6"/>
      <c r="W9" s="6">
        <f t="shared" si="17"/>
        <v>1606550.36</v>
      </c>
      <c r="X9" s="9">
        <f t="shared" si="3"/>
        <v>3166684.54</v>
      </c>
      <c r="Y9" s="8">
        <f t="shared" si="0"/>
        <v>6263221.4500000002</v>
      </c>
      <c r="Z9" s="8"/>
      <c r="AA9" s="8"/>
      <c r="AB9" s="8">
        <v>1595451.94</v>
      </c>
      <c r="AC9" s="8"/>
      <c r="AD9" s="8">
        <f t="shared" si="12"/>
        <v>1595451.94</v>
      </c>
      <c r="AE9" s="10"/>
      <c r="AF9" s="10"/>
      <c r="AG9" s="8">
        <v>1530339.91</v>
      </c>
      <c r="AH9" s="8"/>
      <c r="AI9" s="8">
        <f t="shared" si="4"/>
        <v>1530339.91</v>
      </c>
      <c r="AJ9" s="9">
        <f t="shared" si="5"/>
        <v>3125791.8499999996</v>
      </c>
      <c r="AK9" s="8">
        <f t="shared" si="1"/>
        <v>9389013.3000000007</v>
      </c>
      <c r="AL9" s="10"/>
      <c r="AM9" s="8"/>
      <c r="AN9" s="8">
        <v>1600853.3</v>
      </c>
      <c r="AO9" s="8"/>
      <c r="AP9" s="8">
        <f t="shared" si="18"/>
        <v>1600853.3</v>
      </c>
      <c r="AQ9" s="10"/>
      <c r="AR9" s="10"/>
      <c r="AS9" s="8">
        <f>1679035.06-80000</f>
        <v>1599035.06</v>
      </c>
      <c r="AT9" s="8"/>
      <c r="AU9" s="8">
        <f t="shared" si="13"/>
        <v>1599035.06</v>
      </c>
      <c r="AV9" s="9">
        <f t="shared" si="6"/>
        <v>3199888.3600000003</v>
      </c>
      <c r="AW9" s="10">
        <f t="shared" si="2"/>
        <v>12588901.66</v>
      </c>
      <c r="AX9" s="10"/>
      <c r="AY9" s="10"/>
      <c r="AZ9" s="8">
        <v>1526633.86</v>
      </c>
      <c r="BA9" s="8"/>
      <c r="BB9" s="8">
        <f t="shared" si="14"/>
        <v>1526633.86</v>
      </c>
      <c r="BC9" s="10"/>
      <c r="BD9" s="10"/>
      <c r="BE9" s="8">
        <v>1543488.47</v>
      </c>
      <c r="BF9" s="8"/>
      <c r="BG9" s="8">
        <f t="shared" si="15"/>
        <v>1543488.47</v>
      </c>
      <c r="BH9" s="9">
        <f t="shared" si="7"/>
        <v>3070122.33</v>
      </c>
      <c r="BI9" s="10"/>
      <c r="BJ9" s="10"/>
      <c r="BK9" s="10"/>
      <c r="BL9" s="8">
        <v>1597068.41</v>
      </c>
      <c r="BM9" s="8"/>
      <c r="BN9" s="10"/>
      <c r="BO9" s="10"/>
      <c r="BP9" s="10"/>
      <c r="BQ9" s="8">
        <v>2722207.6</v>
      </c>
      <c r="BR9" s="8"/>
      <c r="BS9" s="10"/>
      <c r="BT9" s="9">
        <f t="shared" si="16"/>
        <v>19978300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39</v>
      </c>
      <c r="B10" s="5">
        <v>113090567</v>
      </c>
      <c r="C10" s="6"/>
      <c r="D10" s="7"/>
      <c r="E10" s="6">
        <f>7583966.47+5695421.07</f>
        <v>13279387.539999999</v>
      </c>
      <c r="F10" s="6">
        <v>7709270.25</v>
      </c>
      <c r="G10" s="6">
        <f t="shared" si="8"/>
        <v>5570117.2899999991</v>
      </c>
      <c r="H10" s="12"/>
      <c r="I10" s="6"/>
      <c r="J10" s="6">
        <f>8201554.12+G10+1561310.29</f>
        <v>15332981.699999999</v>
      </c>
      <c r="K10" s="6">
        <v>9707718.5600000005</v>
      </c>
      <c r="L10" s="6">
        <f t="shared" si="9"/>
        <v>5625263.1399999987</v>
      </c>
      <c r="M10" s="7">
        <f t="shared" si="10"/>
        <v>17416988.810000002</v>
      </c>
      <c r="N10" s="13"/>
      <c r="O10" s="13"/>
      <c r="P10" s="6">
        <f>8948178.04+L10</f>
        <v>14573441.179999998</v>
      </c>
      <c r="Q10" s="6"/>
      <c r="R10" s="6">
        <f t="shared" si="11"/>
        <v>14573441.179999998</v>
      </c>
      <c r="S10" s="12"/>
      <c r="T10" s="12"/>
      <c r="U10" s="6">
        <v>9216541.9499999993</v>
      </c>
      <c r="V10" s="6"/>
      <c r="W10" s="6">
        <f t="shared" si="17"/>
        <v>9216541.9499999993</v>
      </c>
      <c r="X10" s="9">
        <f t="shared" si="3"/>
        <v>23789983.129999995</v>
      </c>
      <c r="Y10" s="8"/>
      <c r="Z10" s="8"/>
      <c r="AA10" s="8"/>
      <c r="AB10" s="8">
        <v>9152871.9600000009</v>
      </c>
      <c r="AC10" s="8"/>
      <c r="AD10" s="8">
        <f t="shared" si="12"/>
        <v>9152871.9600000009</v>
      </c>
      <c r="AE10" s="10"/>
      <c r="AF10" s="10"/>
      <c r="AG10" s="8">
        <v>8779333.8000000007</v>
      </c>
      <c r="AH10" s="8"/>
      <c r="AI10" s="8">
        <f t="shared" si="4"/>
        <v>8779333.8000000007</v>
      </c>
      <c r="AJ10" s="9">
        <f t="shared" si="5"/>
        <v>17932205.760000002</v>
      </c>
      <c r="AK10" s="8"/>
      <c r="AL10" s="10"/>
      <c r="AM10" s="8"/>
      <c r="AN10" s="8">
        <v>9183858.75</v>
      </c>
      <c r="AO10" s="8"/>
      <c r="AP10" s="8">
        <f t="shared" si="18"/>
        <v>9183858.75</v>
      </c>
      <c r="AQ10" s="10"/>
      <c r="AR10" s="10"/>
      <c r="AS10" s="8">
        <v>9632375.9700000007</v>
      </c>
      <c r="AT10" s="8"/>
      <c r="AU10" s="8">
        <f t="shared" si="13"/>
        <v>9632375.9700000007</v>
      </c>
      <c r="AV10" s="9">
        <f t="shared" si="6"/>
        <v>18816234.719999999</v>
      </c>
      <c r="AW10" s="10"/>
      <c r="AX10" s="10"/>
      <c r="AY10" s="10"/>
      <c r="AZ10" s="8">
        <v>8758072.8000000007</v>
      </c>
      <c r="BA10" s="8"/>
      <c r="BB10" s="8">
        <f t="shared" si="14"/>
        <v>8758072.8000000007</v>
      </c>
      <c r="BC10" s="10"/>
      <c r="BD10" s="10"/>
      <c r="BE10" s="8">
        <v>8854765.1999999993</v>
      </c>
      <c r="BF10" s="8"/>
      <c r="BG10" s="8">
        <f t="shared" si="15"/>
        <v>8854765.1999999993</v>
      </c>
      <c r="BH10" s="9">
        <f t="shared" si="7"/>
        <v>17612838</v>
      </c>
      <c r="BI10" s="10"/>
      <c r="BJ10" s="10"/>
      <c r="BK10" s="10"/>
      <c r="BL10" s="8">
        <v>9162145.3499999996</v>
      </c>
      <c r="BM10" s="8"/>
      <c r="BN10" s="10"/>
      <c r="BO10" s="10"/>
      <c r="BP10" s="10"/>
      <c r="BQ10" s="8">
        <v>15616902.59</v>
      </c>
      <c r="BR10" s="8"/>
      <c r="BS10" s="10"/>
      <c r="BT10" s="9">
        <f t="shared" si="16"/>
        <v>120347298.36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29</v>
      </c>
      <c r="B11" s="5">
        <v>175147019.38</v>
      </c>
      <c r="C11" s="6"/>
      <c r="D11" s="7"/>
      <c r="E11" s="6">
        <f>11745534.27+10077987.93</f>
        <v>21823522.199999999</v>
      </c>
      <c r="F11" s="6">
        <v>10768219.619999999</v>
      </c>
      <c r="G11" s="6">
        <f t="shared" si="8"/>
        <v>11055302.58</v>
      </c>
      <c r="H11" s="6"/>
      <c r="I11" s="6"/>
      <c r="J11" s="6">
        <f>12702012.14+G11+3898495</f>
        <v>27655809.719999999</v>
      </c>
      <c r="K11" s="6">
        <v>10209830.23</v>
      </c>
      <c r="L11" s="6">
        <f t="shared" si="9"/>
        <v>17445979.489999998</v>
      </c>
      <c r="M11" s="7">
        <f t="shared" si="10"/>
        <v>20978049.850000001</v>
      </c>
      <c r="N11" s="13"/>
      <c r="O11" s="13"/>
      <c r="P11" s="6">
        <f>13858332.77+L11</f>
        <v>31304312.259999998</v>
      </c>
      <c r="Q11" s="6"/>
      <c r="R11" s="6">
        <f t="shared" si="11"/>
        <v>31304312.259999998</v>
      </c>
      <c r="S11" s="12"/>
      <c r="T11" s="12"/>
      <c r="U11" s="6">
        <v>14273956.640000001</v>
      </c>
      <c r="V11" s="6"/>
      <c r="W11" s="6">
        <f t="shared" si="17"/>
        <v>14273956.640000001</v>
      </c>
      <c r="X11" s="9">
        <f t="shared" si="3"/>
        <v>45578268.899999999</v>
      </c>
      <c r="Y11" s="8">
        <f t="shared" si="0"/>
        <v>66556318.75</v>
      </c>
      <c r="Z11" s="8"/>
      <c r="AA11" s="8"/>
      <c r="AB11" s="6">
        <v>14175348.869999999</v>
      </c>
      <c r="AC11" s="8"/>
      <c r="AD11" s="8">
        <f t="shared" si="12"/>
        <v>14175348.869999999</v>
      </c>
      <c r="AE11" s="10"/>
      <c r="AF11" s="10"/>
      <c r="AG11" s="6">
        <v>13596838.26</v>
      </c>
      <c r="AH11" s="8"/>
      <c r="AI11" s="8">
        <f t="shared" si="4"/>
        <v>13596838.26</v>
      </c>
      <c r="AJ11" s="9">
        <f t="shared" si="5"/>
        <v>27772187.129999999</v>
      </c>
      <c r="AK11" s="8">
        <f t="shared" si="1"/>
        <v>94328505.879999995</v>
      </c>
      <c r="AL11" s="10"/>
      <c r="AM11" s="8"/>
      <c r="AN11" s="6">
        <v>14223339.140000001</v>
      </c>
      <c r="AO11" s="8"/>
      <c r="AP11" s="8">
        <f t="shared" si="18"/>
        <v>14223339.140000001</v>
      </c>
      <c r="AQ11" s="10"/>
      <c r="AR11" s="10"/>
      <c r="AS11" s="6">
        <v>14917972.220000001</v>
      </c>
      <c r="AT11" s="8"/>
      <c r="AU11" s="8">
        <f t="shared" si="13"/>
        <v>14917972.220000001</v>
      </c>
      <c r="AV11" s="9">
        <f t="shared" si="6"/>
        <v>29141311.359999999</v>
      </c>
      <c r="AW11" s="10">
        <f t="shared" si="2"/>
        <v>123469817.23999999</v>
      </c>
      <c r="AX11" s="10"/>
      <c r="AY11" s="10"/>
      <c r="AZ11" s="6">
        <v>13563910.630000001</v>
      </c>
      <c r="BA11" s="8"/>
      <c r="BB11" s="8">
        <f t="shared" si="14"/>
        <v>13563910.630000001</v>
      </c>
      <c r="BC11" s="10"/>
      <c r="BD11" s="10"/>
      <c r="BE11" s="6">
        <v>13713661.32</v>
      </c>
      <c r="BF11" s="8"/>
      <c r="BG11" s="8">
        <f t="shared" si="15"/>
        <v>13713661.32</v>
      </c>
      <c r="BH11" s="9">
        <f t="shared" si="7"/>
        <v>27277571.950000003</v>
      </c>
      <c r="BI11" s="10"/>
      <c r="BJ11" s="10"/>
      <c r="BK11" s="10"/>
      <c r="BL11" s="6">
        <v>14189710.91</v>
      </c>
      <c r="BM11" s="8"/>
      <c r="BN11" s="10"/>
      <c r="BO11" s="10"/>
      <c r="BP11" s="10"/>
      <c r="BQ11" s="8">
        <v>24186402.210000001</v>
      </c>
      <c r="BR11" s="8"/>
      <c r="BS11" s="10"/>
      <c r="BT11" s="9">
        <f t="shared" si="16"/>
        <v>189123502.31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43</v>
      </c>
      <c r="B12" s="5">
        <v>10747192.6</v>
      </c>
      <c r="C12" s="6"/>
      <c r="D12" s="7"/>
      <c r="E12" s="6">
        <f>720717.48+1260434.18</f>
        <v>1981151.66</v>
      </c>
      <c r="F12" s="6">
        <v>390377.2</v>
      </c>
      <c r="G12" s="6">
        <f t="shared" si="8"/>
        <v>1590774.46</v>
      </c>
      <c r="H12" s="6"/>
      <c r="I12" s="6"/>
      <c r="J12" s="6">
        <f>779407.93+G12</f>
        <v>2370182.39</v>
      </c>
      <c r="K12" s="6">
        <v>380604.94</v>
      </c>
      <c r="L12" s="6">
        <f t="shared" si="9"/>
        <v>1989577.4500000002</v>
      </c>
      <c r="M12" s="7">
        <f t="shared" si="10"/>
        <v>770982.14</v>
      </c>
      <c r="N12" s="13"/>
      <c r="O12" s="13"/>
      <c r="P12" s="6">
        <f>850360.89+L12</f>
        <v>2839938.3400000003</v>
      </c>
      <c r="Q12" s="6"/>
      <c r="R12" s="6">
        <f t="shared" si="11"/>
        <v>2839938.3400000003</v>
      </c>
      <c r="S12" s="12"/>
      <c r="T12" s="12"/>
      <c r="U12" s="6">
        <v>875863.97</v>
      </c>
      <c r="V12" s="6"/>
      <c r="W12" s="6">
        <f t="shared" si="17"/>
        <v>875863.97</v>
      </c>
      <c r="X12" s="9">
        <f t="shared" si="3"/>
        <v>3715802.3100000005</v>
      </c>
      <c r="Y12" s="8"/>
      <c r="Z12" s="8"/>
      <c r="AA12" s="8"/>
      <c r="AB12" s="8">
        <v>869813.29</v>
      </c>
      <c r="AC12" s="8"/>
      <c r="AD12" s="8">
        <f t="shared" si="12"/>
        <v>869813.29</v>
      </c>
      <c r="AE12" s="10"/>
      <c r="AF12" s="10"/>
      <c r="AG12" s="8">
        <v>834315.29</v>
      </c>
      <c r="AH12" s="8"/>
      <c r="AI12" s="8">
        <f t="shared" si="4"/>
        <v>834315.29</v>
      </c>
      <c r="AJ12" s="9">
        <f t="shared" si="5"/>
        <v>1704128.58</v>
      </c>
      <c r="AK12" s="8"/>
      <c r="AL12" s="10"/>
      <c r="AM12" s="8"/>
      <c r="AN12" s="8">
        <v>872758</v>
      </c>
      <c r="AO12" s="8"/>
      <c r="AP12" s="8">
        <f t="shared" si="18"/>
        <v>872758</v>
      </c>
      <c r="AQ12" s="10"/>
      <c r="AR12" s="10"/>
      <c r="AS12" s="8">
        <v>915381.35</v>
      </c>
      <c r="AT12" s="8"/>
      <c r="AU12" s="8">
        <f t="shared" si="13"/>
        <v>915381.35</v>
      </c>
      <c r="AV12" s="9">
        <f t="shared" si="6"/>
        <v>1788139.35</v>
      </c>
      <c r="AW12" s="10"/>
      <c r="AX12" s="10"/>
      <c r="AY12" s="10"/>
      <c r="AZ12" s="8">
        <v>832294.86</v>
      </c>
      <c r="BA12" s="8"/>
      <c r="BB12" s="8">
        <f t="shared" si="14"/>
        <v>832294.86</v>
      </c>
      <c r="BC12" s="10"/>
      <c r="BD12" s="10"/>
      <c r="BE12" s="8">
        <v>841483.69</v>
      </c>
      <c r="BF12" s="8"/>
      <c r="BG12" s="8">
        <f t="shared" si="15"/>
        <v>841483.69</v>
      </c>
      <c r="BH12" s="9">
        <f t="shared" si="7"/>
        <v>1673778.5499999998</v>
      </c>
      <c r="BI12" s="10"/>
      <c r="BJ12" s="10"/>
      <c r="BK12" s="10"/>
      <c r="BL12" s="8">
        <v>870694.52</v>
      </c>
      <c r="BM12" s="8"/>
      <c r="BN12" s="10"/>
      <c r="BO12" s="10"/>
      <c r="BP12" s="10"/>
      <c r="BQ12" s="8">
        <v>1484101.33</v>
      </c>
      <c r="BR12" s="8"/>
      <c r="BS12" s="10"/>
      <c r="BT12" s="9">
        <f t="shared" si="16"/>
        <v>12007626.779999999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44</v>
      </c>
      <c r="B13" s="5">
        <v>11712828</v>
      </c>
      <c r="C13" s="6"/>
      <c r="D13" s="7"/>
      <c r="E13" s="6">
        <f>785473.93+2086426.7</f>
        <v>2871900.63</v>
      </c>
      <c r="F13" s="6">
        <v>1056983.73</v>
      </c>
      <c r="G13" s="6">
        <f t="shared" si="8"/>
        <v>1814916.9</v>
      </c>
      <c r="H13" s="6"/>
      <c r="I13" s="6"/>
      <c r="J13" s="6">
        <f>849437.71+G13+93200</f>
        <v>2757554.61</v>
      </c>
      <c r="K13" s="6">
        <v>866325.87</v>
      </c>
      <c r="L13" s="6">
        <f t="shared" si="9"/>
        <v>1891228.7399999998</v>
      </c>
      <c r="M13" s="7">
        <f t="shared" si="10"/>
        <v>1923309.6</v>
      </c>
      <c r="N13" s="13"/>
      <c r="O13" s="13"/>
      <c r="P13" s="6">
        <f>926765.8+L13</f>
        <v>2817994.54</v>
      </c>
      <c r="Q13" s="6"/>
      <c r="R13" s="6">
        <f t="shared" si="11"/>
        <v>2817994.54</v>
      </c>
      <c r="S13" s="12"/>
      <c r="T13" s="12"/>
      <c r="U13" s="6">
        <v>954560.34</v>
      </c>
      <c r="V13" s="6"/>
      <c r="W13" s="6">
        <f t="shared" si="17"/>
        <v>954560.34</v>
      </c>
      <c r="X13" s="9">
        <f t="shared" si="3"/>
        <v>3772554.88</v>
      </c>
      <c r="Y13" s="8">
        <f t="shared" si="0"/>
        <v>5695864.4800000004</v>
      </c>
      <c r="Z13" s="8"/>
      <c r="AA13" s="8"/>
      <c r="AB13" s="8">
        <v>947966.03</v>
      </c>
      <c r="AC13" s="8"/>
      <c r="AD13" s="8">
        <f t="shared" si="12"/>
        <v>947966.03</v>
      </c>
      <c r="AE13" s="10"/>
      <c r="AF13" s="10"/>
      <c r="AG13" s="8">
        <v>909278.55</v>
      </c>
      <c r="AH13" s="8"/>
      <c r="AI13" s="8">
        <f t="shared" si="4"/>
        <v>909278.55</v>
      </c>
      <c r="AJ13" s="9">
        <f t="shared" si="5"/>
        <v>1857244.58</v>
      </c>
      <c r="AK13" s="8">
        <f t="shared" si="1"/>
        <v>7553109.0600000005</v>
      </c>
      <c r="AL13" s="10"/>
      <c r="AM13" s="8"/>
      <c r="AN13" s="8">
        <v>951175.33</v>
      </c>
      <c r="AO13" s="8"/>
      <c r="AP13" s="8">
        <f t="shared" si="18"/>
        <v>951175.33</v>
      </c>
      <c r="AQ13" s="10"/>
      <c r="AR13" s="10"/>
      <c r="AS13" s="8">
        <v>997628.42</v>
      </c>
      <c r="AT13" s="8"/>
      <c r="AU13" s="8">
        <f t="shared" si="13"/>
        <v>997628.42</v>
      </c>
      <c r="AV13" s="9">
        <f t="shared" si="6"/>
        <v>1948803.75</v>
      </c>
      <c r="AW13" s="10">
        <f t="shared" si="2"/>
        <v>9501912.8100000005</v>
      </c>
      <c r="AX13" s="10"/>
      <c r="AY13" s="10"/>
      <c r="AZ13" s="8">
        <v>907076.55</v>
      </c>
      <c r="BA13" s="8"/>
      <c r="BB13" s="8">
        <f t="shared" si="14"/>
        <v>907076.55</v>
      </c>
      <c r="BC13" s="10"/>
      <c r="BD13" s="10"/>
      <c r="BE13" s="8">
        <v>917091.01</v>
      </c>
      <c r="BF13" s="8"/>
      <c r="BG13" s="8">
        <f>BE13-BF13</f>
        <v>917091.01</v>
      </c>
      <c r="BH13" s="9">
        <f t="shared" si="7"/>
        <v>1824167.56</v>
      </c>
      <c r="BI13" s="10"/>
      <c r="BJ13" s="10"/>
      <c r="BK13" s="10"/>
      <c r="BL13" s="8">
        <v>948926.48</v>
      </c>
      <c r="BM13" s="8"/>
      <c r="BN13" s="10"/>
      <c r="BO13" s="10"/>
      <c r="BP13" s="10"/>
      <c r="BQ13" s="8">
        <v>1617447.85</v>
      </c>
      <c r="BR13" s="8"/>
      <c r="BS13" s="10"/>
      <c r="BT13" s="9">
        <f t="shared" si="16"/>
        <v>13892454.700000001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5956582.3799999999</v>
      </c>
      <c r="C14" s="6"/>
      <c r="D14" s="7"/>
      <c r="E14" s="6">
        <f>399454.36+475200</f>
        <v>874654.36</v>
      </c>
      <c r="F14" s="6">
        <v>330173.69</v>
      </c>
      <c r="G14" s="6">
        <f t="shared" si="8"/>
        <v>544480.66999999993</v>
      </c>
      <c r="H14" s="6"/>
      <c r="I14" s="6"/>
      <c r="J14" s="6">
        <f>431983.28+G14+1597272.36</f>
        <v>2573736.31</v>
      </c>
      <c r="K14" s="6">
        <v>323685.96999999997</v>
      </c>
      <c r="L14" s="6">
        <f>J14-K14</f>
        <v>2250050.34</v>
      </c>
      <c r="M14" s="7">
        <f t="shared" si="10"/>
        <v>653859.65999999992</v>
      </c>
      <c r="N14" s="6"/>
      <c r="O14" s="13"/>
      <c r="P14" s="6">
        <f>471308.63+L14</f>
        <v>2721358.9699999997</v>
      </c>
      <c r="Q14" s="6"/>
      <c r="R14" s="6">
        <f>P14-Q14</f>
        <v>2721358.9699999997</v>
      </c>
      <c r="S14" s="12"/>
      <c r="T14" s="12"/>
      <c r="U14" s="6">
        <v>485443.59</v>
      </c>
      <c r="V14" s="6"/>
      <c r="W14" s="6">
        <f>U14-V14</f>
        <v>485443.59</v>
      </c>
      <c r="X14" s="9">
        <f t="shared" si="3"/>
        <v>3206802.5599999996</v>
      </c>
      <c r="Y14" s="8"/>
      <c r="Z14" s="8"/>
      <c r="AA14" s="8"/>
      <c r="AB14" s="8">
        <v>482090.04</v>
      </c>
      <c r="AC14" s="8"/>
      <c r="AD14" s="8">
        <f t="shared" si="12"/>
        <v>482090.04</v>
      </c>
      <c r="AE14" s="10"/>
      <c r="AF14" s="10"/>
      <c r="AG14" s="8">
        <v>462415.44</v>
      </c>
      <c r="AH14" s="8"/>
      <c r="AI14" s="8">
        <f t="shared" si="4"/>
        <v>462415.44</v>
      </c>
      <c r="AJ14" s="9">
        <f t="shared" si="5"/>
        <v>944505.48</v>
      </c>
      <c r="AK14" s="8"/>
      <c r="AL14" s="10"/>
      <c r="AM14" s="8"/>
      <c r="AN14" s="8">
        <v>483722.14</v>
      </c>
      <c r="AO14" s="8"/>
      <c r="AP14" s="8">
        <f t="shared" si="18"/>
        <v>483722.14</v>
      </c>
      <c r="AQ14" s="10"/>
      <c r="AR14" s="10"/>
      <c r="AS14" s="8">
        <v>507345.95</v>
      </c>
      <c r="AT14" s="8"/>
      <c r="AU14" s="8">
        <f t="shared" si="13"/>
        <v>507345.95</v>
      </c>
      <c r="AV14" s="9">
        <f t="shared" si="6"/>
        <v>991068.09000000008</v>
      </c>
      <c r="AW14" s="10"/>
      <c r="AX14" s="10"/>
      <c r="AY14" s="10"/>
      <c r="AZ14" s="8">
        <v>461295.62</v>
      </c>
      <c r="BA14" s="8"/>
      <c r="BB14" s="8">
        <f t="shared" si="14"/>
        <v>461295.62</v>
      </c>
      <c r="BC14" s="10"/>
      <c r="BD14" s="10"/>
      <c r="BE14" s="8">
        <v>466388.49</v>
      </c>
      <c r="BF14" s="8"/>
      <c r="BG14" s="8">
        <f t="shared" si="15"/>
        <v>466388.49</v>
      </c>
      <c r="BH14" s="9">
        <f t="shared" si="7"/>
        <v>927684.11</v>
      </c>
      <c r="BI14" s="10"/>
      <c r="BJ14" s="10"/>
      <c r="BK14" s="10"/>
      <c r="BL14" s="8">
        <v>482578.47</v>
      </c>
      <c r="BM14" s="8"/>
      <c r="BN14" s="10"/>
      <c r="BO14" s="10"/>
      <c r="BP14" s="10"/>
      <c r="BQ14" s="8">
        <v>822556.37</v>
      </c>
      <c r="BR14" s="8"/>
      <c r="BS14" s="10"/>
      <c r="BT14" s="9">
        <f>M14+X14+AJ14+AV14+BH14+BL14+BQ14</f>
        <v>8029054.7399999993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46</v>
      </c>
      <c r="B15" s="5">
        <v>3457388.7</v>
      </c>
      <c r="C15" s="6"/>
      <c r="D15" s="7"/>
      <c r="E15" s="6">
        <f>231855.94+19300</f>
        <v>251155.94</v>
      </c>
      <c r="F15" s="6">
        <v>215790.19</v>
      </c>
      <c r="G15" s="6">
        <f t="shared" si="8"/>
        <v>35365.75</v>
      </c>
      <c r="H15" s="6"/>
      <c r="I15" s="6"/>
      <c r="J15" s="6">
        <f>250736.75+G15</f>
        <v>286102.5</v>
      </c>
      <c r="K15" s="6">
        <v>244444.96</v>
      </c>
      <c r="L15" s="6">
        <f t="shared" si="9"/>
        <v>41657.540000000008</v>
      </c>
      <c r="M15" s="7">
        <f t="shared" si="10"/>
        <v>460235.15</v>
      </c>
      <c r="N15" s="6"/>
      <c r="O15" s="13"/>
      <c r="P15" s="6">
        <f>273562.42+L15</f>
        <v>315219.95999999996</v>
      </c>
      <c r="Q15" s="6"/>
      <c r="R15" s="6">
        <f t="shared" si="11"/>
        <v>315219.95999999996</v>
      </c>
      <c r="S15" s="12"/>
      <c r="T15" s="12"/>
      <c r="U15" s="6">
        <v>281766.81</v>
      </c>
      <c r="V15" s="6"/>
      <c r="W15" s="6">
        <f t="shared" si="17"/>
        <v>281766.81</v>
      </c>
      <c r="X15" s="9">
        <f t="shared" si="3"/>
        <v>596986.77</v>
      </c>
      <c r="Y15" s="8">
        <f t="shared" si="0"/>
        <v>1057221.92</v>
      </c>
      <c r="Z15" s="8"/>
      <c r="AA15" s="8"/>
      <c r="AB15" s="8">
        <v>279820.3</v>
      </c>
      <c r="AC15" s="8"/>
      <c r="AD15" s="8">
        <f t="shared" si="12"/>
        <v>279820.3</v>
      </c>
      <c r="AE15" s="10"/>
      <c r="AF15" s="10"/>
      <c r="AG15" s="8">
        <v>268400.53999999998</v>
      </c>
      <c r="AH15" s="8"/>
      <c r="AI15" s="8">
        <f t="shared" si="4"/>
        <v>268400.53999999998</v>
      </c>
      <c r="AJ15" s="9">
        <f t="shared" si="5"/>
        <v>548220.84</v>
      </c>
      <c r="AK15" s="8">
        <f t="shared" si="1"/>
        <v>1605442.7599999998</v>
      </c>
      <c r="AL15" s="10"/>
      <c r="AM15" s="8"/>
      <c r="AN15" s="8">
        <v>280767.61</v>
      </c>
      <c r="AO15" s="8"/>
      <c r="AP15" s="8">
        <f t="shared" si="18"/>
        <v>280767.61</v>
      </c>
      <c r="AQ15" s="10"/>
      <c r="AR15" s="10"/>
      <c r="AS15" s="8">
        <v>294479.62</v>
      </c>
      <c r="AT15" s="8"/>
      <c r="AU15" s="8">
        <f t="shared" si="13"/>
        <v>294479.62</v>
      </c>
      <c r="AV15" s="9">
        <f t="shared" si="6"/>
        <v>575247.23</v>
      </c>
      <c r="AW15" s="10">
        <f t="shared" si="2"/>
        <v>2180689.9899999998</v>
      </c>
      <c r="AX15" s="10"/>
      <c r="AY15" s="10"/>
      <c r="AZ15" s="8">
        <v>267750.56</v>
      </c>
      <c r="BA15" s="8"/>
      <c r="BB15" s="8">
        <f t="shared" si="14"/>
        <v>267750.56</v>
      </c>
      <c r="BC15" s="10"/>
      <c r="BD15" s="10"/>
      <c r="BE15" s="8">
        <v>270706.62</v>
      </c>
      <c r="BF15" s="8"/>
      <c r="BG15" s="8">
        <f t="shared" si="15"/>
        <v>270706.62</v>
      </c>
      <c r="BH15" s="9">
        <f t="shared" si="7"/>
        <v>538457.17999999993</v>
      </c>
      <c r="BI15" s="10"/>
      <c r="BJ15" s="10"/>
      <c r="BK15" s="10"/>
      <c r="BL15" s="8">
        <v>280103.8</v>
      </c>
      <c r="BM15" s="8"/>
      <c r="BN15" s="10"/>
      <c r="BO15" s="10"/>
      <c r="BP15" s="10"/>
      <c r="BQ15" s="8">
        <v>477437.73</v>
      </c>
      <c r="BR15" s="8"/>
      <c r="BS15" s="10"/>
      <c r="BT15" s="9">
        <f t="shared" si="16"/>
        <v>3476688.6999999997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47</v>
      </c>
      <c r="B16" s="5">
        <v>39697818.960000001</v>
      </c>
      <c r="C16" s="6"/>
      <c r="D16" s="7"/>
      <c r="E16" s="6">
        <f>2662175.45+231000</f>
        <v>2893175.45</v>
      </c>
      <c r="F16" s="6">
        <v>852325.57</v>
      </c>
      <c r="G16" s="6">
        <f t="shared" si="8"/>
        <v>2040849.8800000004</v>
      </c>
      <c r="H16" s="6"/>
      <c r="I16" s="6"/>
      <c r="J16" s="6">
        <f>2878965.22+G16</f>
        <v>4919815.1000000006</v>
      </c>
      <c r="K16" s="6">
        <v>783082.81</v>
      </c>
      <c r="L16" s="6">
        <f t="shared" si="9"/>
        <v>4136732.2900000005</v>
      </c>
      <c r="M16" s="7">
        <f t="shared" si="10"/>
        <v>1635408.38</v>
      </c>
      <c r="N16" s="6"/>
      <c r="O16" s="13"/>
      <c r="P16" s="6">
        <f>3141050.23+L16</f>
        <v>7277782.5200000005</v>
      </c>
      <c r="Q16" s="6"/>
      <c r="R16" s="6">
        <f t="shared" si="11"/>
        <v>7277782.5200000005</v>
      </c>
      <c r="S16" s="12"/>
      <c r="T16" s="12"/>
      <c r="U16" s="6">
        <v>3235253.14</v>
      </c>
      <c r="V16" s="6"/>
      <c r="W16" s="6">
        <f t="shared" si="17"/>
        <v>3235253.14</v>
      </c>
      <c r="X16" s="9">
        <f t="shared" si="3"/>
        <v>10513035.66</v>
      </c>
      <c r="Y16" s="8">
        <f t="shared" si="0"/>
        <v>12148444.039999999</v>
      </c>
      <c r="Z16" s="8"/>
      <c r="AA16" s="8"/>
      <c r="AB16" s="8">
        <v>3212903.29</v>
      </c>
      <c r="AC16" s="8"/>
      <c r="AD16" s="8">
        <f t="shared" si="12"/>
        <v>3212903.29</v>
      </c>
      <c r="AE16" s="10"/>
      <c r="AF16" s="10"/>
      <c r="AG16" s="8">
        <v>3081781.38</v>
      </c>
      <c r="AH16" s="8"/>
      <c r="AI16" s="8">
        <f t="shared" si="4"/>
        <v>3081781.38</v>
      </c>
      <c r="AJ16" s="9">
        <f t="shared" si="5"/>
        <v>6294684.6699999999</v>
      </c>
      <c r="AK16" s="8">
        <f t="shared" si="1"/>
        <v>18443128.710000001</v>
      </c>
      <c r="AL16" s="10"/>
      <c r="AM16" s="8"/>
      <c r="AN16" s="8">
        <v>3223780.48</v>
      </c>
      <c r="AO16" s="8"/>
      <c r="AP16" s="8">
        <f t="shared" si="18"/>
        <v>3223780.48</v>
      </c>
      <c r="AQ16" s="10"/>
      <c r="AR16" s="10"/>
      <c r="AS16" s="8">
        <v>3381222.03</v>
      </c>
      <c r="AT16" s="8"/>
      <c r="AU16" s="8">
        <f t="shared" si="13"/>
        <v>3381222.03</v>
      </c>
      <c r="AV16" s="9">
        <f t="shared" si="6"/>
        <v>6605002.5099999998</v>
      </c>
      <c r="AW16" s="10">
        <f t="shared" si="2"/>
        <v>25048131.219999999</v>
      </c>
      <c r="AX16" s="10"/>
      <c r="AY16" s="10"/>
      <c r="AZ16" s="8">
        <v>3074318.19</v>
      </c>
      <c r="BA16" s="8"/>
      <c r="BB16" s="8">
        <f t="shared" si="14"/>
        <v>3074318.19</v>
      </c>
      <c r="BC16" s="10"/>
      <c r="BD16" s="10"/>
      <c r="BE16" s="8">
        <v>3108259.83</v>
      </c>
      <c r="BF16" s="8"/>
      <c r="BG16" s="8">
        <f t="shared" si="15"/>
        <v>3108259.83</v>
      </c>
      <c r="BH16" s="9">
        <f t="shared" si="7"/>
        <v>6182578.0199999996</v>
      </c>
      <c r="BI16" s="10"/>
      <c r="BJ16" s="10"/>
      <c r="BK16" s="10"/>
      <c r="BL16" s="8">
        <v>3216158.5</v>
      </c>
      <c r="BM16" s="8"/>
      <c r="BN16" s="10"/>
      <c r="BO16" s="10"/>
      <c r="BP16" s="10"/>
      <c r="BQ16" s="8">
        <v>5481951.2199999997</v>
      </c>
      <c r="BR16" s="8"/>
      <c r="BS16" s="10"/>
      <c r="BT16" s="9">
        <f t="shared" si="16"/>
        <v>39928818.959999993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48</v>
      </c>
      <c r="B17" s="5">
        <v>53036656.100000001</v>
      </c>
      <c r="C17" s="6"/>
      <c r="D17" s="7"/>
      <c r="E17" s="6">
        <f>3556691.21+13705440.1</f>
        <v>17262131.309999999</v>
      </c>
      <c r="F17" s="6">
        <v>1911832.3</v>
      </c>
      <c r="G17" s="6">
        <f t="shared" si="8"/>
        <v>15350299.009999998</v>
      </c>
      <c r="H17" s="6"/>
      <c r="I17" s="6"/>
      <c r="J17" s="6">
        <f>3846324.38+G17+6555534.56</f>
        <v>25752157.949999996</v>
      </c>
      <c r="K17" s="6">
        <v>7199801.6500000004</v>
      </c>
      <c r="L17" s="6">
        <f t="shared" si="9"/>
        <v>18552356.299999997</v>
      </c>
      <c r="M17" s="7">
        <f t="shared" si="10"/>
        <v>9111633.9500000011</v>
      </c>
      <c r="N17" s="6"/>
      <c r="O17" s="13"/>
      <c r="P17" s="6">
        <f>4196472.37+L17</f>
        <v>22748828.669999998</v>
      </c>
      <c r="Q17" s="6"/>
      <c r="R17" s="6">
        <f t="shared" si="11"/>
        <v>22748828.669999998</v>
      </c>
      <c r="S17" s="12"/>
      <c r="T17" s="12"/>
      <c r="U17" s="6">
        <v>4322328.37</v>
      </c>
      <c r="V17" s="6"/>
      <c r="W17" s="6">
        <f t="shared" si="17"/>
        <v>4322328.37</v>
      </c>
      <c r="X17" s="9">
        <f t="shared" si="3"/>
        <v>27071157.039999999</v>
      </c>
      <c r="Y17" s="8"/>
      <c r="Z17" s="8"/>
      <c r="AA17" s="8"/>
      <c r="AB17" s="8">
        <v>4292468.7300000004</v>
      </c>
      <c r="AC17" s="8"/>
      <c r="AD17" s="8">
        <f t="shared" si="12"/>
        <v>4292468.7300000004</v>
      </c>
      <c r="AE17" s="10"/>
      <c r="AF17" s="10"/>
      <c r="AG17" s="8">
        <v>4117288.65</v>
      </c>
      <c r="AH17" s="8"/>
      <c r="AI17" s="8">
        <f t="shared" si="4"/>
        <v>4117288.65</v>
      </c>
      <c r="AJ17" s="9">
        <f t="shared" si="5"/>
        <v>8409757.3800000008</v>
      </c>
      <c r="AK17" s="8"/>
      <c r="AL17" s="10"/>
      <c r="AM17" s="8"/>
      <c r="AN17" s="8">
        <v>4307000.75</v>
      </c>
      <c r="AO17" s="8"/>
      <c r="AP17" s="8">
        <f t="shared" si="18"/>
        <v>4307000.75</v>
      </c>
      <c r="AQ17" s="10"/>
      <c r="AR17" s="10"/>
      <c r="AS17" s="8">
        <v>4517344.13</v>
      </c>
      <c r="AT17" s="8"/>
      <c r="AU17" s="8">
        <f t="shared" si="13"/>
        <v>4517344.13</v>
      </c>
      <c r="AV17" s="9">
        <f t="shared" si="6"/>
        <v>8824344.879999999</v>
      </c>
      <c r="AW17" s="10"/>
      <c r="AX17" s="10"/>
      <c r="AY17" s="10"/>
      <c r="AZ17" s="8">
        <v>4107317.75</v>
      </c>
      <c r="BA17" s="8"/>
      <c r="BB17" s="8">
        <f>AZ17-BA17</f>
        <v>4107317.75</v>
      </c>
      <c r="BC17" s="10"/>
      <c r="BD17" s="10"/>
      <c r="BE17" s="8">
        <v>4152664.09</v>
      </c>
      <c r="BF17" s="8"/>
      <c r="BG17" s="8">
        <f t="shared" si="15"/>
        <v>4152664.09</v>
      </c>
      <c r="BH17" s="9">
        <f t="shared" si="7"/>
        <v>8259981.8399999999</v>
      </c>
      <c r="BI17" s="10"/>
      <c r="BJ17" s="10"/>
      <c r="BK17" s="10"/>
      <c r="BL17" s="8">
        <v>4296817.7300000004</v>
      </c>
      <c r="BM17" s="8"/>
      <c r="BN17" s="10"/>
      <c r="BO17" s="10"/>
      <c r="BP17" s="10"/>
      <c r="BQ17" s="8">
        <v>7323937.9400000004</v>
      </c>
      <c r="BR17" s="8"/>
      <c r="BS17" s="10"/>
      <c r="BT17" s="9">
        <f t="shared" si="16"/>
        <v>73297630.760000005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40</v>
      </c>
      <c r="B18" s="5">
        <v>13368000</v>
      </c>
      <c r="C18" s="6"/>
      <c r="D18" s="7"/>
      <c r="E18" s="6">
        <f>896471.45+619700</f>
        <v>1516171.45</v>
      </c>
      <c r="F18" s="6">
        <v>1012081.28</v>
      </c>
      <c r="G18" s="6">
        <f t="shared" si="8"/>
        <v>504090.16999999993</v>
      </c>
      <c r="H18" s="6"/>
      <c r="I18" s="6"/>
      <c r="J18" s="6">
        <f>969474.09+G18</f>
        <v>1473564.2599999998</v>
      </c>
      <c r="K18" s="6">
        <v>942141.57</v>
      </c>
      <c r="L18" s="6">
        <f t="shared" si="9"/>
        <v>531422.68999999983</v>
      </c>
      <c r="M18" s="7">
        <f t="shared" si="10"/>
        <v>1954222.85</v>
      </c>
      <c r="N18" s="6"/>
      <c r="O18" s="13"/>
      <c r="P18" s="6">
        <f>1057729.63+L18</f>
        <v>1589152.3199999998</v>
      </c>
      <c r="Q18" s="6"/>
      <c r="R18" s="6">
        <f t="shared" si="11"/>
        <v>1589152.3199999998</v>
      </c>
      <c r="S18" s="12"/>
      <c r="T18" s="12"/>
      <c r="U18" s="6">
        <v>1089451.8999999999</v>
      </c>
      <c r="V18" s="6"/>
      <c r="W18" s="6">
        <f t="shared" si="17"/>
        <v>1089451.8999999999</v>
      </c>
      <c r="X18" s="9">
        <f t="shared" si="3"/>
        <v>2678604.2199999997</v>
      </c>
      <c r="Y18" s="8">
        <f t="shared" si="0"/>
        <v>4632827.07</v>
      </c>
      <c r="Z18" s="8"/>
      <c r="AA18" s="8"/>
      <c r="AB18" s="8">
        <v>1081925.72</v>
      </c>
      <c r="AC18" s="8"/>
      <c r="AD18" s="8">
        <f t="shared" si="12"/>
        <v>1081925.72</v>
      </c>
      <c r="AE18" s="10"/>
      <c r="AF18" s="10"/>
      <c r="AG18" s="8">
        <v>1037771.21</v>
      </c>
      <c r="AH18" s="8"/>
      <c r="AI18" s="8">
        <f t="shared" si="4"/>
        <v>1037771.21</v>
      </c>
      <c r="AJ18" s="9">
        <f t="shared" si="5"/>
        <v>2119696.9299999997</v>
      </c>
      <c r="AK18" s="8">
        <f t="shared" si="1"/>
        <v>6752524</v>
      </c>
      <c r="AL18" s="10"/>
      <c r="AM18" s="8"/>
      <c r="AN18" s="8">
        <v>1085588.54</v>
      </c>
      <c r="AO18" s="8"/>
      <c r="AP18" s="8">
        <f t="shared" si="18"/>
        <v>1085588.54</v>
      </c>
      <c r="AQ18" s="10"/>
      <c r="AR18" s="10"/>
      <c r="AS18" s="8">
        <v>1138606.03</v>
      </c>
      <c r="AT18" s="8"/>
      <c r="AU18" s="8">
        <f t="shared" si="13"/>
        <v>1138606.03</v>
      </c>
      <c r="AV18" s="9">
        <f t="shared" si="6"/>
        <v>2224194.5700000003</v>
      </c>
      <c r="AW18" s="10">
        <f t="shared" si="2"/>
        <v>8976718.5700000003</v>
      </c>
      <c r="AX18" s="10"/>
      <c r="AY18" s="10"/>
      <c r="AZ18" s="8">
        <v>1035258.02</v>
      </c>
      <c r="BA18" s="8"/>
      <c r="BB18" s="8">
        <f t="shared" si="14"/>
        <v>1035258.02</v>
      </c>
      <c r="BC18" s="10"/>
      <c r="BD18" s="10"/>
      <c r="BE18" s="8">
        <v>1046687.66</v>
      </c>
      <c r="BF18" s="8"/>
      <c r="BG18" s="8">
        <f t="shared" si="15"/>
        <v>1046687.66</v>
      </c>
      <c r="BH18" s="9">
        <f t="shared" si="7"/>
        <v>2081945.6800000002</v>
      </c>
      <c r="BI18" s="10"/>
      <c r="BJ18" s="10"/>
      <c r="BK18" s="10"/>
      <c r="BL18" s="8">
        <v>1083021.8899999999</v>
      </c>
      <c r="BM18" s="8"/>
      <c r="BN18" s="10"/>
      <c r="BO18" s="10"/>
      <c r="BP18" s="10"/>
      <c r="BQ18" s="8">
        <v>1846013.86</v>
      </c>
      <c r="BR18" s="8"/>
      <c r="BS18" s="10"/>
      <c r="BT18" s="9">
        <f t="shared" si="16"/>
        <v>13987700</v>
      </c>
      <c r="BU18" s="9">
        <f>F18+K18+Q18+V18+AC18+AH18+AO18+AT18+BA18+BF18+BM18+BR18</f>
        <v>1954222.85</v>
      </c>
      <c r="BV18" s="11">
        <f>BT18-BU18</f>
        <v>12033477.15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49</v>
      </c>
      <c r="B19" s="5">
        <v>20873300</v>
      </c>
      <c r="C19" s="6"/>
      <c r="D19" s="7"/>
      <c r="E19" s="6">
        <f>1399784.34+2758429.08</f>
        <v>4158213.42</v>
      </c>
      <c r="F19" s="6">
        <v>2136763.6</v>
      </c>
      <c r="G19" s="6">
        <f t="shared" si="8"/>
        <v>2021449.8199999998</v>
      </c>
      <c r="H19" s="6"/>
      <c r="I19" s="6"/>
      <c r="J19" s="6">
        <f>1513773.47+G19+2252300</f>
        <v>5787523.29</v>
      </c>
      <c r="K19" s="6">
        <v>2151391.23</v>
      </c>
      <c r="L19" s="6">
        <f>J19-K19</f>
        <v>3636132.06</v>
      </c>
      <c r="M19" s="7">
        <f>F19+K19</f>
        <v>4288154.83</v>
      </c>
      <c r="N19" s="6"/>
      <c r="O19" s="13"/>
      <c r="P19" s="6">
        <f>1651578.99+L19</f>
        <v>5287711.05</v>
      </c>
      <c r="Q19" s="6"/>
      <c r="R19" s="6">
        <f t="shared" si="11"/>
        <v>5287711.05</v>
      </c>
      <c r="S19" s="6"/>
      <c r="T19" s="12"/>
      <c r="U19" s="6">
        <v>1701111.33</v>
      </c>
      <c r="V19" s="6"/>
      <c r="W19" s="6">
        <f t="shared" si="17"/>
        <v>1701111.33</v>
      </c>
      <c r="X19" s="9">
        <f t="shared" si="3"/>
        <v>6988822.3799999999</v>
      </c>
      <c r="Y19" s="8">
        <f t="shared" si="0"/>
        <v>11276977.210000001</v>
      </c>
      <c r="Z19" s="8"/>
      <c r="AA19" s="8"/>
      <c r="AB19" s="8">
        <v>1689359.66</v>
      </c>
      <c r="AC19" s="8"/>
      <c r="AD19" s="8">
        <f t="shared" si="12"/>
        <v>1689359.66</v>
      </c>
      <c r="AE19" s="8"/>
      <c r="AF19" s="10"/>
      <c r="AG19" s="8">
        <v>1620415.16</v>
      </c>
      <c r="AH19" s="8"/>
      <c r="AI19" s="8">
        <f t="shared" si="4"/>
        <v>1620415.16</v>
      </c>
      <c r="AJ19" s="9">
        <f t="shared" si="5"/>
        <v>3309774.82</v>
      </c>
      <c r="AK19" s="8">
        <f t="shared" si="1"/>
        <v>14586752.030000001</v>
      </c>
      <c r="AL19" s="8"/>
      <c r="AM19" s="8"/>
      <c r="AN19" s="8">
        <v>1695078.95</v>
      </c>
      <c r="AO19" s="8"/>
      <c r="AP19" s="8">
        <f t="shared" si="18"/>
        <v>1695078.95</v>
      </c>
      <c r="AQ19" s="8"/>
      <c r="AR19" s="8"/>
      <c r="AS19" s="8">
        <v>1777862.46</v>
      </c>
      <c r="AT19" s="8"/>
      <c r="AU19" s="8">
        <f t="shared" si="13"/>
        <v>1777862.46</v>
      </c>
      <c r="AV19" s="9">
        <f t="shared" si="6"/>
        <v>3472941.41</v>
      </c>
      <c r="AW19" s="10">
        <f t="shared" si="2"/>
        <v>18059693.440000001</v>
      </c>
      <c r="AX19" s="8"/>
      <c r="AY19" s="8"/>
      <c r="AZ19" s="8">
        <v>1616490.98</v>
      </c>
      <c r="BA19" s="8"/>
      <c r="BB19" s="8">
        <f t="shared" si="14"/>
        <v>1616490.98</v>
      </c>
      <c r="BC19" s="8"/>
      <c r="BD19" s="8"/>
      <c r="BE19" s="8">
        <v>1634337.64</v>
      </c>
      <c r="BF19" s="8"/>
      <c r="BG19" s="8">
        <f t="shared" si="15"/>
        <v>1634337.64</v>
      </c>
      <c r="BH19" s="9">
        <f t="shared" si="7"/>
        <v>3250828.62</v>
      </c>
      <c r="BI19" s="10"/>
      <c r="BJ19" s="8"/>
      <c r="BK19" s="8"/>
      <c r="BL19" s="8">
        <v>1691071.28</v>
      </c>
      <c r="BM19" s="8"/>
      <c r="BN19" s="8"/>
      <c r="BO19" s="8"/>
      <c r="BP19" s="8"/>
      <c r="BQ19" s="8">
        <v>2882435.74</v>
      </c>
      <c r="BR19" s="8"/>
      <c r="BS19" s="10"/>
      <c r="BT19" s="9">
        <f t="shared" si="16"/>
        <v>25884029.080000006</v>
      </c>
      <c r="BU19" s="9">
        <f>F19+K19+Q19+V19+AC19+AH19+AO19+AT19+BA19+BF19+BM19+BR19</f>
        <v>4288154.83</v>
      </c>
      <c r="BV19" s="11">
        <f>BT19-BU19</f>
        <v>21595874.250000007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50</v>
      </c>
      <c r="B20" s="5">
        <f>9880000+800000</f>
        <v>10680000</v>
      </c>
      <c r="C20" s="6">
        <f>800000+611000</f>
        <v>1411000</v>
      </c>
      <c r="D20" s="7">
        <v>1410589.26</v>
      </c>
      <c r="E20" s="6"/>
      <c r="F20" s="6"/>
      <c r="G20" s="6">
        <f>C20-D20</f>
        <v>410.73999999999069</v>
      </c>
      <c r="H20" s="6">
        <f>800000+G20</f>
        <v>800410.74</v>
      </c>
      <c r="I20" s="6">
        <v>718503.97</v>
      </c>
      <c r="J20" s="6"/>
      <c r="K20" s="6"/>
      <c r="L20" s="6">
        <f>H20-I20</f>
        <v>81906.770000000019</v>
      </c>
      <c r="M20" s="7">
        <f>SUM(D20+I20)</f>
        <v>2129093.23</v>
      </c>
      <c r="N20" s="6">
        <f>825000+L20</f>
        <v>906906.77</v>
      </c>
      <c r="O20" s="13"/>
      <c r="P20" s="6"/>
      <c r="Q20" s="6"/>
      <c r="R20" s="6">
        <f t="shared" si="11"/>
        <v>0</v>
      </c>
      <c r="S20" s="6">
        <v>825000</v>
      </c>
      <c r="T20" s="12"/>
      <c r="U20" s="6"/>
      <c r="V20" s="6"/>
      <c r="W20" s="6">
        <f t="shared" si="17"/>
        <v>0</v>
      </c>
      <c r="X20" s="7">
        <f t="shared" ref="X20:X21" si="19">SUM(N20+S20)</f>
        <v>1731906.77</v>
      </c>
      <c r="Y20" s="8">
        <f t="shared" si="0"/>
        <v>3861000</v>
      </c>
      <c r="Z20" s="8">
        <v>825000</v>
      </c>
      <c r="AA20" s="8"/>
      <c r="AB20" s="8"/>
      <c r="AC20" s="8"/>
      <c r="AD20" s="8">
        <f t="shared" si="12"/>
        <v>0</v>
      </c>
      <c r="AE20" s="8">
        <v>825000</v>
      </c>
      <c r="AF20" s="10"/>
      <c r="AG20" s="8"/>
      <c r="AH20" s="8"/>
      <c r="AI20" s="8">
        <f t="shared" si="4"/>
        <v>0</v>
      </c>
      <c r="AJ20" s="7">
        <f t="shared" ref="AJ20:AJ21" si="20">SUM(Z20+AE20)</f>
        <v>1650000</v>
      </c>
      <c r="AK20" s="8">
        <f t="shared" si="1"/>
        <v>5511000</v>
      </c>
      <c r="AL20" s="8">
        <v>825000</v>
      </c>
      <c r="AM20" s="8"/>
      <c r="AN20" s="8"/>
      <c r="AO20" s="8"/>
      <c r="AP20" s="8">
        <f t="shared" si="18"/>
        <v>0</v>
      </c>
      <c r="AQ20" s="8">
        <v>825000</v>
      </c>
      <c r="AR20" s="10"/>
      <c r="AS20" s="8"/>
      <c r="AT20" s="8"/>
      <c r="AU20" s="8">
        <f t="shared" si="13"/>
        <v>0</v>
      </c>
      <c r="AV20" s="7">
        <f t="shared" ref="AV20:AV21" si="21">SUM(AL20+AQ20)</f>
        <v>1650000</v>
      </c>
      <c r="AW20" s="10">
        <f t="shared" si="2"/>
        <v>7161000</v>
      </c>
      <c r="AX20" s="8">
        <v>825000</v>
      </c>
      <c r="AY20" s="10"/>
      <c r="AZ20" s="8"/>
      <c r="BA20" s="8"/>
      <c r="BB20" s="8"/>
      <c r="BC20" s="8">
        <v>825000</v>
      </c>
      <c r="BD20" s="10"/>
      <c r="BE20" s="8"/>
      <c r="BF20" s="8"/>
      <c r="BG20" s="8">
        <f t="shared" si="15"/>
        <v>0</v>
      </c>
      <c r="BH20" s="7">
        <f t="shared" ref="BH20:BH21" si="22">SUM(AX20+BC20)</f>
        <v>1650000</v>
      </c>
      <c r="BI20" s="10"/>
      <c r="BJ20" s="8">
        <v>825000</v>
      </c>
      <c r="BK20" s="10"/>
      <c r="BL20" s="8"/>
      <c r="BM20" s="8"/>
      <c r="BN20" s="10"/>
      <c r="BO20" s="8">
        <f>1655000-611000</f>
        <v>1044000</v>
      </c>
      <c r="BP20" s="10"/>
      <c r="BQ20" s="8"/>
      <c r="BR20" s="8"/>
      <c r="BS20" s="10"/>
      <c r="BT20" s="9">
        <f t="shared" ref="BT20:BT21" si="23">M20+X20+AJ20+AV20+BH20+BJ20+BO20</f>
        <v>10680000</v>
      </c>
      <c r="BU20" s="9">
        <f>F20+K20+Q20+V20+AC20+AH20+AO20+AT20+BA20+BF20+BM20+BR20</f>
        <v>0</v>
      </c>
      <c r="BV20" s="11">
        <f>BT20-BU20</f>
        <v>10680000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51</v>
      </c>
      <c r="B21" s="5">
        <v>2434000</v>
      </c>
      <c r="C21" s="6">
        <f>210000+12000</f>
        <v>222000</v>
      </c>
      <c r="D21" s="7">
        <v>221365.41</v>
      </c>
      <c r="E21" s="6"/>
      <c r="F21" s="6"/>
      <c r="G21" s="6">
        <f>C21-D21</f>
        <v>634.58999999999651</v>
      </c>
      <c r="H21" s="6">
        <f>210000+12000+G21</f>
        <v>222634.59</v>
      </c>
      <c r="I21" s="6">
        <v>222448.06</v>
      </c>
      <c r="J21" s="6"/>
      <c r="K21" s="6"/>
      <c r="L21" s="6">
        <f>H21-I21</f>
        <v>186.52999999999884</v>
      </c>
      <c r="M21" s="7">
        <f>SUM(D21+I21)</f>
        <v>443813.47</v>
      </c>
      <c r="N21" s="6">
        <f>210000+L21</f>
        <v>210186.53</v>
      </c>
      <c r="O21" s="7"/>
      <c r="P21" s="6"/>
      <c r="Q21" s="6"/>
      <c r="R21" s="6"/>
      <c r="S21" s="6">
        <v>210000</v>
      </c>
      <c r="T21" s="6"/>
      <c r="U21" s="6"/>
      <c r="V21" s="6"/>
      <c r="W21" s="6">
        <f t="shared" si="17"/>
        <v>0</v>
      </c>
      <c r="X21" s="7">
        <f t="shared" si="19"/>
        <v>420186.53</v>
      </c>
      <c r="Y21" s="8">
        <f t="shared" si="0"/>
        <v>864000</v>
      </c>
      <c r="Z21" s="8">
        <v>210000</v>
      </c>
      <c r="AA21" s="8"/>
      <c r="AB21" s="8"/>
      <c r="AC21" s="8"/>
      <c r="AD21" s="8">
        <f t="shared" si="12"/>
        <v>0</v>
      </c>
      <c r="AE21" s="8">
        <v>210000</v>
      </c>
      <c r="AF21" s="8"/>
      <c r="AG21" s="8"/>
      <c r="AH21" s="8"/>
      <c r="AI21" s="8">
        <f t="shared" si="4"/>
        <v>0</v>
      </c>
      <c r="AJ21" s="7">
        <f t="shared" si="20"/>
        <v>420000</v>
      </c>
      <c r="AK21" s="8">
        <f t="shared" si="1"/>
        <v>1284000</v>
      </c>
      <c r="AL21" s="8">
        <v>210000</v>
      </c>
      <c r="AM21" s="8"/>
      <c r="AN21" s="8"/>
      <c r="AO21" s="8"/>
      <c r="AP21" s="8">
        <f t="shared" si="18"/>
        <v>0</v>
      </c>
      <c r="AQ21" s="8">
        <v>210000</v>
      </c>
      <c r="AR21" s="8"/>
      <c r="AS21" s="8"/>
      <c r="AT21" s="8"/>
      <c r="AU21" s="8">
        <f t="shared" si="13"/>
        <v>0</v>
      </c>
      <c r="AV21" s="7">
        <f t="shared" si="21"/>
        <v>420000</v>
      </c>
      <c r="AW21" s="10">
        <f t="shared" si="2"/>
        <v>1704000</v>
      </c>
      <c r="AX21" s="8">
        <v>210000</v>
      </c>
      <c r="AY21" s="8"/>
      <c r="AZ21" s="8"/>
      <c r="BA21" s="8"/>
      <c r="BB21" s="8"/>
      <c r="BC21" s="8">
        <v>210000</v>
      </c>
      <c r="BD21" s="8"/>
      <c r="BE21" s="8"/>
      <c r="BF21" s="8"/>
      <c r="BG21" s="8">
        <f t="shared" si="15"/>
        <v>0</v>
      </c>
      <c r="BH21" s="7">
        <f t="shared" si="22"/>
        <v>420000</v>
      </c>
      <c r="BI21" s="10"/>
      <c r="BJ21" s="8">
        <v>210000</v>
      </c>
      <c r="BK21" s="8"/>
      <c r="BL21" s="8"/>
      <c r="BM21" s="8"/>
      <c r="BN21" s="8"/>
      <c r="BO21" s="8">
        <f>124000-24000</f>
        <v>100000</v>
      </c>
      <c r="BP21" s="8"/>
      <c r="BQ21" s="8"/>
      <c r="BR21" s="8"/>
      <c r="BS21" s="8"/>
      <c r="BT21" s="9">
        <f t="shared" si="23"/>
        <v>2434000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52</v>
      </c>
      <c r="B22" s="5">
        <v>114651680</v>
      </c>
      <c r="C22" s="6"/>
      <c r="D22" s="7"/>
      <c r="E22" s="6">
        <f>7688656.33+3597307.11</f>
        <v>11285963.439999999</v>
      </c>
      <c r="F22" s="6">
        <v>8641578.5099999998</v>
      </c>
      <c r="G22" s="6">
        <f t="shared" si="8"/>
        <v>2644384.9299999997</v>
      </c>
      <c r="H22" s="6"/>
      <c r="I22" s="6"/>
      <c r="J22" s="6">
        <f>8314769.13+G22</f>
        <v>10959154.059999999</v>
      </c>
      <c r="K22" s="6">
        <v>10347003.550000001</v>
      </c>
      <c r="L22" s="6">
        <f t="shared" si="9"/>
        <v>612150.50999999791</v>
      </c>
      <c r="M22" s="7">
        <f>F22+K22</f>
        <v>18988582.060000002</v>
      </c>
      <c r="N22" s="6"/>
      <c r="O22" s="13"/>
      <c r="P22" s="6">
        <f>9071699.52+L22</f>
        <v>9683850.0299999975</v>
      </c>
      <c r="Q22" s="6"/>
      <c r="R22" s="6">
        <f t="shared" si="11"/>
        <v>9683850.0299999975</v>
      </c>
      <c r="S22" s="12"/>
      <c r="T22" s="12"/>
      <c r="U22" s="6">
        <v>9343767.9700000007</v>
      </c>
      <c r="V22" s="6"/>
      <c r="W22" s="6">
        <f t="shared" si="17"/>
        <v>9343767.9700000007</v>
      </c>
      <c r="X22" s="9">
        <f t="shared" si="3"/>
        <v>19027618</v>
      </c>
      <c r="Y22" s="8">
        <f t="shared" si="0"/>
        <v>38016200.060000002</v>
      </c>
      <c r="Z22" s="8"/>
      <c r="AA22" s="8"/>
      <c r="AB22" s="8">
        <v>9279219.0700000003</v>
      </c>
      <c r="AC22" s="8"/>
      <c r="AD22" s="8">
        <f t="shared" si="12"/>
        <v>9279219.0700000003</v>
      </c>
      <c r="AE22" s="10"/>
      <c r="AF22" s="10"/>
      <c r="AG22" s="8">
        <v>8900524.5700000003</v>
      </c>
      <c r="AH22" s="8"/>
      <c r="AI22" s="8">
        <f t="shared" si="4"/>
        <v>8900524.5700000003</v>
      </c>
      <c r="AJ22" s="9">
        <f t="shared" si="5"/>
        <v>18179743.640000001</v>
      </c>
      <c r="AK22" s="8">
        <f t="shared" si="1"/>
        <v>56195943.700000003</v>
      </c>
      <c r="AL22" s="10"/>
      <c r="AM22" s="8"/>
      <c r="AN22" s="8">
        <v>9310633.6300000008</v>
      </c>
      <c r="AO22" s="8"/>
      <c r="AP22" s="8">
        <f t="shared" si="18"/>
        <v>9310633.6300000008</v>
      </c>
      <c r="AQ22" s="10"/>
      <c r="AR22" s="10"/>
      <c r="AS22" s="8">
        <v>9765342.1899999995</v>
      </c>
      <c r="AT22" s="8"/>
      <c r="AU22" s="8">
        <f t="shared" si="13"/>
        <v>9765342.1899999995</v>
      </c>
      <c r="AV22" s="9">
        <f t="shared" si="6"/>
        <v>19075975.82</v>
      </c>
      <c r="AW22" s="10">
        <f t="shared" si="2"/>
        <v>75271919.520000011</v>
      </c>
      <c r="AX22" s="10"/>
      <c r="AY22" s="10"/>
      <c r="AZ22" s="8">
        <v>8878970.0500000007</v>
      </c>
      <c r="BA22" s="8"/>
      <c r="BB22" s="8">
        <f t="shared" si="14"/>
        <v>8878970.0500000007</v>
      </c>
      <c r="BC22" s="10"/>
      <c r="BD22" s="10"/>
      <c r="BE22" s="8">
        <v>8976997.2400000002</v>
      </c>
      <c r="BF22" s="8"/>
      <c r="BG22" s="8">
        <f t="shared" si="15"/>
        <v>8976997.2400000002</v>
      </c>
      <c r="BH22" s="9">
        <f t="shared" si="7"/>
        <v>17855967.289999999</v>
      </c>
      <c r="BI22" s="10"/>
      <c r="BJ22" s="10"/>
      <c r="BK22" s="10"/>
      <c r="BL22" s="8">
        <v>9288620.5099999998</v>
      </c>
      <c r="BM22" s="8"/>
      <c r="BN22" s="10"/>
      <c r="BO22" s="10"/>
      <c r="BP22" s="10"/>
      <c r="BQ22" s="8">
        <v>15832479.789999999</v>
      </c>
      <c r="BR22" s="8"/>
      <c r="BS22" s="10"/>
      <c r="BT22" s="9">
        <f t="shared" si="16"/>
        <v>118248987.11000001</v>
      </c>
      <c r="BU22" s="9">
        <f>F22+K22+Q22+V22+AC22+AH22+AO22+AT22+BA22+BF22+BM22+BR22</f>
        <v>18988582.060000002</v>
      </c>
      <c r="BV22" s="11">
        <f>BT22-BU22</f>
        <v>99260405.050000012</v>
      </c>
      <c r="IM22" s="3"/>
      <c r="IN22" s="3"/>
      <c r="IO22" s="3"/>
      <c r="IP22" s="3"/>
      <c r="IQ22" s="3"/>
      <c r="IR22" s="3"/>
      <c r="IS22" s="3"/>
      <c r="IT22" s="3"/>
    </row>
    <row r="23" spans="1:254" s="2" customFormat="1" ht="12.75" customHeight="1" x14ac:dyDescent="0.2">
      <c r="A23" s="5" t="s">
        <v>55</v>
      </c>
      <c r="B23" s="5">
        <v>1914800</v>
      </c>
      <c r="C23" s="6"/>
      <c r="D23" s="7"/>
      <c r="E23" s="6">
        <f>128408.38+6500</f>
        <v>134908.38</v>
      </c>
      <c r="F23" s="6">
        <v>3820.24</v>
      </c>
      <c r="G23" s="6">
        <f t="shared" si="8"/>
        <v>131088.14000000001</v>
      </c>
      <c r="H23" s="6"/>
      <c r="I23" s="6"/>
      <c r="J23" s="6">
        <f>138865.13+G23</f>
        <v>269953.27</v>
      </c>
      <c r="K23" s="6">
        <v>4038.56</v>
      </c>
      <c r="L23" s="6">
        <f t="shared" si="9"/>
        <v>265914.71000000002</v>
      </c>
      <c r="M23" s="7">
        <f t="shared" ref="M23" si="24">F23+K23</f>
        <v>7858.7999999999993</v>
      </c>
      <c r="N23" s="6"/>
      <c r="O23" s="13"/>
      <c r="P23" s="6">
        <f>151506.64+L23</f>
        <v>417421.35000000003</v>
      </c>
      <c r="Q23" s="6"/>
      <c r="R23" s="6">
        <f t="shared" si="11"/>
        <v>417421.35000000003</v>
      </c>
      <c r="S23" s="12"/>
      <c r="T23" s="12"/>
      <c r="U23" s="6">
        <v>156050.46</v>
      </c>
      <c r="V23" s="6"/>
      <c r="W23" s="6">
        <f t="shared" si="17"/>
        <v>156050.46</v>
      </c>
      <c r="X23" s="9">
        <f t="shared" si="3"/>
        <v>573471.81000000006</v>
      </c>
      <c r="Y23" s="8"/>
      <c r="Z23" s="8"/>
      <c r="AA23" s="8"/>
      <c r="AB23" s="8">
        <v>154972.42000000001</v>
      </c>
      <c r="AC23" s="8"/>
      <c r="AD23" s="8">
        <f t="shared" si="12"/>
        <v>154972.42000000001</v>
      </c>
      <c r="AE23" s="10"/>
      <c r="AF23" s="10"/>
      <c r="AG23" s="8">
        <v>148647.84</v>
      </c>
      <c r="AH23" s="8"/>
      <c r="AI23" s="8">
        <f t="shared" si="4"/>
        <v>148647.84</v>
      </c>
      <c r="AJ23" s="9">
        <f t="shared" si="5"/>
        <v>303620.26</v>
      </c>
      <c r="AK23" s="8"/>
      <c r="AL23" s="10"/>
      <c r="AM23" s="8"/>
      <c r="AN23" s="8">
        <v>155497.07999999999</v>
      </c>
      <c r="AO23" s="8"/>
      <c r="AP23" s="8">
        <f t="shared" si="18"/>
        <v>155497.07999999999</v>
      </c>
      <c r="AQ23" s="10"/>
      <c r="AR23" s="10"/>
      <c r="AS23" s="8">
        <v>163091.18</v>
      </c>
      <c r="AT23" s="8"/>
      <c r="AU23" s="8">
        <f t="shared" si="13"/>
        <v>163091.18</v>
      </c>
      <c r="AV23" s="9">
        <f t="shared" si="6"/>
        <v>318588.26</v>
      </c>
      <c r="AW23" s="10"/>
      <c r="AX23" s="10"/>
      <c r="AY23" s="10"/>
      <c r="AZ23" s="8">
        <v>148287.85999999999</v>
      </c>
      <c r="BA23" s="8"/>
      <c r="BB23" s="8"/>
      <c r="BC23" s="10"/>
      <c r="BD23" s="10"/>
      <c r="BE23" s="8">
        <v>149925.01</v>
      </c>
      <c r="BF23" s="8"/>
      <c r="BG23" s="8">
        <f t="shared" si="15"/>
        <v>149925.01</v>
      </c>
      <c r="BH23" s="9">
        <f t="shared" si="7"/>
        <v>298212.87</v>
      </c>
      <c r="BI23" s="10"/>
      <c r="BJ23" s="10"/>
      <c r="BK23" s="10"/>
      <c r="BL23" s="8">
        <v>155129.44</v>
      </c>
      <c r="BM23" s="8"/>
      <c r="BN23" s="10"/>
      <c r="BO23" s="10"/>
      <c r="BP23" s="10"/>
      <c r="BQ23" s="8">
        <v>264418.56</v>
      </c>
      <c r="BR23" s="8"/>
      <c r="BS23" s="10"/>
      <c r="BT23" s="9">
        <f t="shared" si="16"/>
        <v>1921300</v>
      </c>
      <c r="BU23" s="9">
        <f>F23+K23+Q23+V23+AC23+AH23+AO23+AT23+BA23+BF23+BM23+BR23</f>
        <v>7858.7999999999993</v>
      </c>
      <c r="BV23" s="11">
        <f>BT23-BU23</f>
        <v>1913441.2</v>
      </c>
      <c r="IM23" s="3"/>
      <c r="IN23" s="3"/>
      <c r="IO23" s="3"/>
      <c r="IP23" s="3"/>
      <c r="IQ23" s="3"/>
      <c r="IR23" s="3"/>
      <c r="IS23" s="3"/>
      <c r="IT23" s="3"/>
    </row>
    <row r="24" spans="1:254" s="16" customFormat="1" ht="12.75" customHeight="1" x14ac:dyDescent="0.2">
      <c r="A24" s="14" t="s">
        <v>20</v>
      </c>
      <c r="B24" s="15">
        <f>SUM(B5:B23)</f>
        <v>683522000</v>
      </c>
      <c r="C24" s="9">
        <f>SUM(C5:C23)</f>
        <v>4713000</v>
      </c>
      <c r="D24" s="9">
        <f t="shared" ref="D24:BO24" si="25">SUM(D5:D23)</f>
        <v>4704223.08</v>
      </c>
      <c r="E24" s="9">
        <f t="shared" si="25"/>
        <v>84744339.849999994</v>
      </c>
      <c r="F24" s="9">
        <f t="shared" si="25"/>
        <v>39407197.74000001</v>
      </c>
      <c r="G24" s="9">
        <f>SUM(G5:G23)</f>
        <v>45345919.030000009</v>
      </c>
      <c r="H24" s="9">
        <f t="shared" si="25"/>
        <v>3830776.92</v>
      </c>
      <c r="I24" s="9">
        <f t="shared" si="25"/>
        <v>3541016.2600000002</v>
      </c>
      <c r="J24" s="9">
        <f t="shared" si="25"/>
        <v>108172191.65000001</v>
      </c>
      <c r="K24" s="9">
        <f t="shared" si="25"/>
        <v>47711520.700000003</v>
      </c>
      <c r="L24" s="9">
        <f t="shared" si="25"/>
        <v>60750431.609999999</v>
      </c>
      <c r="M24" s="9">
        <f t="shared" si="25"/>
        <v>95363957.780000001</v>
      </c>
      <c r="N24" s="9">
        <f t="shared" si="25"/>
        <v>4124760.6599999997</v>
      </c>
      <c r="O24" s="9">
        <f t="shared" si="25"/>
        <v>0</v>
      </c>
      <c r="P24" s="9">
        <f t="shared" si="25"/>
        <v>111517741.44999999</v>
      </c>
      <c r="Q24" s="9">
        <f t="shared" si="25"/>
        <v>0</v>
      </c>
      <c r="R24" s="9">
        <f t="shared" si="25"/>
        <v>114525408.80999997</v>
      </c>
      <c r="S24" s="9">
        <f t="shared" si="25"/>
        <v>3835000</v>
      </c>
      <c r="T24" s="9">
        <f t="shared" si="25"/>
        <v>0</v>
      </c>
      <c r="U24" s="9">
        <f t="shared" si="25"/>
        <v>52588317.999999993</v>
      </c>
      <c r="V24" s="9">
        <f t="shared" si="25"/>
        <v>0</v>
      </c>
      <c r="W24" s="9">
        <f t="shared" si="25"/>
        <v>55388318</v>
      </c>
      <c r="X24" s="9">
        <f t="shared" si="25"/>
        <v>172065820.10999998</v>
      </c>
      <c r="Y24" s="9">
        <f t="shared" si="25"/>
        <v>168908886.71000001</v>
      </c>
      <c r="Z24" s="9">
        <f t="shared" si="25"/>
        <v>3235000</v>
      </c>
      <c r="AA24" s="9">
        <f t="shared" si="25"/>
        <v>0</v>
      </c>
      <c r="AB24" s="9">
        <f t="shared" si="25"/>
        <v>52225025.850000001</v>
      </c>
      <c r="AC24" s="9">
        <f t="shared" si="25"/>
        <v>0</v>
      </c>
      <c r="AD24" s="9">
        <f t="shared" si="25"/>
        <v>54425025.849999987</v>
      </c>
      <c r="AE24" s="9">
        <f t="shared" si="25"/>
        <v>3235000</v>
      </c>
      <c r="AF24" s="9">
        <f t="shared" si="25"/>
        <v>0</v>
      </c>
      <c r="AG24" s="9">
        <f t="shared" si="25"/>
        <v>50093668.620000005</v>
      </c>
      <c r="AH24" s="9">
        <f t="shared" si="25"/>
        <v>0</v>
      </c>
      <c r="AI24" s="9">
        <f t="shared" si="25"/>
        <v>52293668.620000005</v>
      </c>
      <c r="AJ24" s="9">
        <f t="shared" si="25"/>
        <v>108788694.47</v>
      </c>
      <c r="AK24" s="9">
        <f t="shared" si="25"/>
        <v>242102156.35000002</v>
      </c>
      <c r="AL24" s="9">
        <f t="shared" si="25"/>
        <v>2835000</v>
      </c>
      <c r="AM24" s="9">
        <f t="shared" si="25"/>
        <v>0</v>
      </c>
      <c r="AN24" s="9">
        <f t="shared" si="25"/>
        <v>52401832.200000003</v>
      </c>
      <c r="AO24" s="9">
        <f t="shared" si="25"/>
        <v>0</v>
      </c>
      <c r="AP24" s="9">
        <f t="shared" si="25"/>
        <v>54201832.200000003</v>
      </c>
      <c r="AQ24" s="9">
        <f t="shared" si="25"/>
        <v>2835000</v>
      </c>
      <c r="AR24" s="9">
        <f t="shared" si="25"/>
        <v>0</v>
      </c>
      <c r="AS24" s="9">
        <f t="shared" si="25"/>
        <v>54881009.520000011</v>
      </c>
      <c r="AT24" s="9">
        <f t="shared" si="25"/>
        <v>0</v>
      </c>
      <c r="AU24" s="9">
        <f t="shared" si="25"/>
        <v>56681009.520000011</v>
      </c>
      <c r="AV24" s="9">
        <f t="shared" si="25"/>
        <v>112952841.71999998</v>
      </c>
      <c r="AW24" s="9">
        <f t="shared" si="25"/>
        <v>317704776</v>
      </c>
      <c r="AX24" s="9">
        <f t="shared" si="25"/>
        <v>2835000</v>
      </c>
      <c r="AY24" s="9">
        <f t="shared" si="25"/>
        <v>0</v>
      </c>
      <c r="AZ24" s="9">
        <f t="shared" si="25"/>
        <v>49972356.230000004</v>
      </c>
      <c r="BA24" s="9">
        <f t="shared" si="25"/>
        <v>0</v>
      </c>
      <c r="BB24" s="9">
        <f t="shared" si="25"/>
        <v>51624068.370000005</v>
      </c>
      <c r="BC24" s="9">
        <f t="shared" si="25"/>
        <v>2835000</v>
      </c>
      <c r="BD24" s="9">
        <f t="shared" si="25"/>
        <v>0</v>
      </c>
      <c r="BE24" s="9">
        <f t="shared" si="25"/>
        <v>50524069.819999993</v>
      </c>
      <c r="BF24" s="9">
        <f t="shared" si="25"/>
        <v>0</v>
      </c>
      <c r="BG24" s="9">
        <f t="shared" si="25"/>
        <v>52324069.819999993</v>
      </c>
      <c r="BH24" s="9">
        <f t="shared" si="25"/>
        <v>106166426.05000001</v>
      </c>
      <c r="BI24" s="9">
        <f t="shared" si="25"/>
        <v>0</v>
      </c>
      <c r="BJ24" s="9">
        <f t="shared" si="25"/>
        <v>2555000</v>
      </c>
      <c r="BK24" s="9">
        <f t="shared" si="25"/>
        <v>0</v>
      </c>
      <c r="BL24" s="9">
        <f t="shared" si="25"/>
        <v>52277938.610000007</v>
      </c>
      <c r="BM24" s="9">
        <f t="shared" si="25"/>
        <v>0</v>
      </c>
      <c r="BN24" s="9">
        <f t="shared" si="25"/>
        <v>0</v>
      </c>
      <c r="BO24" s="9">
        <f t="shared" si="25"/>
        <v>1672812.06</v>
      </c>
      <c r="BP24" s="9">
        <f t="shared" ref="BP24:BV24" si="26">SUM(BP5:BP23)</f>
        <v>0</v>
      </c>
      <c r="BQ24" s="9">
        <f t="shared" si="26"/>
        <v>89107893.699999988</v>
      </c>
      <c r="BR24" s="9">
        <f t="shared" si="26"/>
        <v>0</v>
      </c>
      <c r="BS24" s="9">
        <f t="shared" si="26"/>
        <v>0</v>
      </c>
      <c r="BT24" s="9">
        <f>SUM(BT5:BT23)</f>
        <v>740951384.5</v>
      </c>
      <c r="BU24" s="9">
        <f t="shared" si="26"/>
        <v>28419614.670000006</v>
      </c>
      <c r="BV24" s="9">
        <f t="shared" si="26"/>
        <v>190004881.94999999</v>
      </c>
      <c r="BW24" s="2"/>
      <c r="IM24" s="46"/>
      <c r="IN24" s="46"/>
      <c r="IO24" s="46"/>
      <c r="IP24" s="46"/>
      <c r="IQ24" s="46"/>
      <c r="IR24" s="46"/>
      <c r="IS24" s="46"/>
      <c r="IT24" s="46"/>
    </row>
    <row r="25" spans="1:254" s="17" customFormat="1" ht="12.75" customHeight="1" x14ac:dyDescent="0.2">
      <c r="A25" s="38" t="s">
        <v>30</v>
      </c>
      <c r="B25" s="38">
        <v>1675680</v>
      </c>
      <c r="C25" s="39"/>
      <c r="D25" s="40"/>
      <c r="E25" s="39"/>
      <c r="F25" s="39"/>
      <c r="G25" s="39"/>
      <c r="H25" s="39"/>
      <c r="I25" s="39"/>
      <c r="J25" s="39"/>
      <c r="K25" s="39"/>
      <c r="L25" s="39"/>
      <c r="M25" s="40">
        <f>SUM(G25+L25)</f>
        <v>0</v>
      </c>
      <c r="N25" s="41"/>
      <c r="O25" s="41"/>
      <c r="P25" s="39"/>
      <c r="Q25" s="39"/>
      <c r="R25" s="39"/>
      <c r="S25" s="42"/>
      <c r="T25" s="42"/>
      <c r="U25" s="39"/>
      <c r="V25" s="39"/>
      <c r="W25" s="39"/>
      <c r="X25" s="40">
        <f>R25+V25</f>
        <v>0</v>
      </c>
      <c r="Y25" s="43">
        <f>M25+X25</f>
        <v>0</v>
      </c>
      <c r="Z25" s="43"/>
      <c r="AA25" s="43"/>
      <c r="AB25" s="43"/>
      <c r="AC25" s="43"/>
      <c r="AD25" s="43"/>
      <c r="AE25" s="44"/>
      <c r="AF25" s="44"/>
      <c r="AG25" s="43"/>
      <c r="AH25" s="43"/>
      <c r="AI25" s="43"/>
      <c r="AJ25" s="45">
        <f>AC25+AH25</f>
        <v>0</v>
      </c>
      <c r="AK25" s="43">
        <f>Y25+AJ25</f>
        <v>0</v>
      </c>
      <c r="AL25" s="44"/>
      <c r="AM25" s="43"/>
      <c r="AN25" s="43"/>
      <c r="AO25" s="43"/>
      <c r="AP25" s="43">
        <f>AO25</f>
        <v>0</v>
      </c>
      <c r="AQ25" s="44"/>
      <c r="AR25" s="44"/>
      <c r="AS25" s="43"/>
      <c r="AT25" s="43"/>
      <c r="AU25" s="43">
        <f>AI25-AT25</f>
        <v>0</v>
      </c>
      <c r="AV25" s="40">
        <f>SUM(AO25+AT25)</f>
        <v>0</v>
      </c>
      <c r="AW25" s="44">
        <f>AK25+AV25</f>
        <v>0</v>
      </c>
      <c r="AX25" s="44"/>
      <c r="AY25" s="44"/>
      <c r="AZ25" s="43"/>
      <c r="BA25" s="43"/>
      <c r="BB25" s="43">
        <f>BA25</f>
        <v>0</v>
      </c>
      <c r="BC25" s="44"/>
      <c r="BD25" s="44"/>
      <c r="BE25" s="43"/>
      <c r="BF25" s="43"/>
      <c r="BG25" s="43">
        <f>BF25</f>
        <v>0</v>
      </c>
      <c r="BH25" s="45">
        <f>BB25+BG25</f>
        <v>0</v>
      </c>
      <c r="BI25" s="44"/>
      <c r="BJ25" s="44"/>
      <c r="BK25" s="44"/>
      <c r="BL25" s="43">
        <v>0</v>
      </c>
      <c r="BM25" s="43"/>
      <c r="BN25" s="44"/>
      <c r="BO25" s="44"/>
      <c r="BP25" s="44"/>
      <c r="BQ25" s="43">
        <v>0</v>
      </c>
      <c r="BR25" s="43"/>
      <c r="BS25" s="44"/>
      <c r="BT25" s="45">
        <f>B25-M25-X25-AJ25-AV25-BH25-BJ25-BL25</f>
        <v>1675680</v>
      </c>
      <c r="BU25" s="16"/>
      <c r="BV25" s="19"/>
      <c r="BW25" s="2"/>
      <c r="IM25" s="3"/>
      <c r="IN25" s="3"/>
      <c r="IO25" s="3"/>
      <c r="IP25" s="3"/>
      <c r="IQ25" s="3"/>
      <c r="IR25" s="3"/>
      <c r="IS25" s="3"/>
      <c r="IT25" s="3"/>
    </row>
    <row r="26" spans="1:254" s="17" customFormat="1" ht="12.75" customHeight="1" x14ac:dyDescent="0.2">
      <c r="D26" s="18"/>
      <c r="E26" s="18"/>
      <c r="F26" s="18"/>
      <c r="G26" s="24"/>
      <c r="H26" s="24"/>
      <c r="I26" s="24"/>
      <c r="J26" s="18"/>
      <c r="K26" s="18"/>
      <c r="L26" s="24"/>
      <c r="M26" s="16"/>
      <c r="N26" s="16"/>
      <c r="O26" s="16"/>
      <c r="P26" s="18"/>
      <c r="Q26" s="18"/>
      <c r="R26" s="24"/>
      <c r="S26" s="24"/>
      <c r="T26" s="24"/>
      <c r="U26" s="24"/>
      <c r="V26" s="24"/>
      <c r="W26" s="24"/>
      <c r="X26" s="16"/>
      <c r="Y26" s="24"/>
      <c r="Z26" s="24"/>
      <c r="AA26" s="24"/>
      <c r="AB26" s="24"/>
      <c r="AC26" s="24"/>
      <c r="AD26" s="18"/>
      <c r="AE26" s="24"/>
      <c r="AF26" s="24"/>
      <c r="AG26" s="24"/>
      <c r="AH26" s="18"/>
      <c r="AI26" s="18"/>
      <c r="AJ26" s="21"/>
      <c r="AK26" s="18"/>
      <c r="AL26" s="24"/>
      <c r="AM26" s="24"/>
      <c r="AN26" s="24"/>
      <c r="AO26" s="18"/>
      <c r="AP26" s="18"/>
      <c r="AQ26" s="24"/>
      <c r="AR26" s="24"/>
      <c r="AS26" s="24"/>
      <c r="AT26" s="18"/>
      <c r="AU26" s="18"/>
      <c r="AV26" s="21"/>
      <c r="AW26" s="18"/>
      <c r="AX26" s="24"/>
      <c r="AY26" s="24"/>
      <c r="AZ26" s="24"/>
      <c r="BA26" s="18"/>
      <c r="BB26" s="18"/>
      <c r="BC26" s="24"/>
      <c r="BD26" s="24"/>
      <c r="BE26" s="24"/>
      <c r="BF26" s="18"/>
      <c r="BG26" s="18"/>
      <c r="BH26" s="21"/>
      <c r="BI26" s="18"/>
      <c r="BJ26" s="24"/>
      <c r="BK26" s="24"/>
      <c r="BL26" s="24"/>
      <c r="BM26" s="18"/>
      <c r="BN26" s="18"/>
      <c r="BO26" s="24"/>
      <c r="BP26" s="24"/>
      <c r="BQ26" s="24"/>
      <c r="BR26" s="18"/>
      <c r="BS26" s="18"/>
      <c r="BT26" s="24"/>
      <c r="BU26" s="18"/>
      <c r="BV26" s="16"/>
      <c r="IM26" s="3"/>
      <c r="IN26" s="3"/>
      <c r="IO26" s="3"/>
      <c r="IP26" s="3"/>
      <c r="IQ26" s="3"/>
      <c r="IR26" s="3"/>
      <c r="IS26" s="3"/>
      <c r="IT26" s="3"/>
    </row>
    <row r="27" spans="1:254" s="2" customFormat="1" ht="12.75" customHeight="1" x14ac:dyDescent="0.2">
      <c r="A27" s="57" t="s">
        <v>31</v>
      </c>
      <c r="B27" s="57"/>
      <c r="C27" s="53" t="s">
        <v>2</v>
      </c>
      <c r="D27" s="53"/>
      <c r="E27" s="53"/>
      <c r="F27" s="53"/>
      <c r="G27" s="34"/>
      <c r="H27" s="53" t="s">
        <v>3</v>
      </c>
      <c r="I27" s="53"/>
      <c r="J27" s="53"/>
      <c r="K27" s="53"/>
      <c r="L27" s="53"/>
      <c r="M27" s="56" t="s">
        <v>4</v>
      </c>
      <c r="N27" s="53" t="s">
        <v>5</v>
      </c>
      <c r="O27" s="53"/>
      <c r="P27" s="53"/>
      <c r="Q27" s="53"/>
      <c r="R27" s="53"/>
      <c r="S27" s="53" t="s">
        <v>6</v>
      </c>
      <c r="T27" s="53"/>
      <c r="U27" s="53"/>
      <c r="V27" s="53"/>
      <c r="W27" s="53"/>
      <c r="X27" s="56" t="s">
        <v>7</v>
      </c>
      <c r="Y27" s="56" t="s">
        <v>8</v>
      </c>
      <c r="Z27" s="53" t="s">
        <v>9</v>
      </c>
      <c r="AA27" s="53"/>
      <c r="AB27" s="53"/>
      <c r="AC27" s="53"/>
      <c r="AD27" s="53"/>
      <c r="AE27" s="53" t="s">
        <v>10</v>
      </c>
      <c r="AF27" s="53"/>
      <c r="AG27" s="53"/>
      <c r="AH27" s="53"/>
      <c r="AI27" s="53"/>
      <c r="AJ27" s="56" t="s">
        <v>11</v>
      </c>
      <c r="AK27" s="56" t="s">
        <v>8</v>
      </c>
      <c r="AL27" s="53" t="s">
        <v>12</v>
      </c>
      <c r="AM27" s="53"/>
      <c r="AN27" s="53"/>
      <c r="AO27" s="53"/>
      <c r="AP27" s="53"/>
      <c r="AQ27" s="53" t="s">
        <v>13</v>
      </c>
      <c r="AR27" s="53"/>
      <c r="AS27" s="53"/>
      <c r="AT27" s="53"/>
      <c r="AU27" s="53"/>
      <c r="AV27" s="56" t="s">
        <v>14</v>
      </c>
      <c r="AW27" s="56" t="s">
        <v>8</v>
      </c>
      <c r="AX27" s="53" t="s">
        <v>15</v>
      </c>
      <c r="AY27" s="53"/>
      <c r="AZ27" s="53"/>
      <c r="BA27" s="53"/>
      <c r="BB27" s="53"/>
      <c r="BC27" s="53" t="s">
        <v>16</v>
      </c>
      <c r="BD27" s="53"/>
      <c r="BE27" s="53"/>
      <c r="BF27" s="53"/>
      <c r="BG27" s="53"/>
      <c r="BH27" s="56" t="s">
        <v>17</v>
      </c>
      <c r="BI27" s="56" t="s">
        <v>8</v>
      </c>
      <c r="BJ27" s="53" t="s">
        <v>18</v>
      </c>
      <c r="BK27" s="53"/>
      <c r="BL27" s="53"/>
      <c r="BM27" s="53"/>
      <c r="BN27" s="53"/>
      <c r="BO27" s="53" t="s">
        <v>19</v>
      </c>
      <c r="BP27" s="53"/>
      <c r="BQ27" s="53"/>
      <c r="BR27" s="53"/>
      <c r="BS27" s="53"/>
      <c r="BT27" s="36" t="s">
        <v>20</v>
      </c>
      <c r="BU27" s="30"/>
      <c r="BV27" s="31"/>
      <c r="IP27" s="3"/>
      <c r="IQ27" s="3"/>
      <c r="IR27" s="3"/>
      <c r="IS27" s="3"/>
      <c r="IT27" s="3"/>
    </row>
    <row r="28" spans="1:254" s="2" customFormat="1" ht="12.75" customHeight="1" x14ac:dyDescent="0.2">
      <c r="A28" s="57"/>
      <c r="B28" s="57"/>
      <c r="C28" s="53" t="s">
        <v>21</v>
      </c>
      <c r="D28" s="53"/>
      <c r="E28" s="53" t="s">
        <v>22</v>
      </c>
      <c r="F28" s="53"/>
      <c r="G28" s="53" t="s">
        <v>23</v>
      </c>
      <c r="H28" s="53" t="s">
        <v>21</v>
      </c>
      <c r="I28" s="53"/>
      <c r="J28" s="53" t="s">
        <v>22</v>
      </c>
      <c r="K28" s="53"/>
      <c r="L28" s="53" t="s">
        <v>23</v>
      </c>
      <c r="M28" s="56"/>
      <c r="N28" s="53" t="s">
        <v>21</v>
      </c>
      <c r="O28" s="53"/>
      <c r="P28" s="53" t="s">
        <v>22</v>
      </c>
      <c r="Q28" s="53"/>
      <c r="R28" s="53" t="s">
        <v>23</v>
      </c>
      <c r="S28" s="53" t="s">
        <v>21</v>
      </c>
      <c r="T28" s="53"/>
      <c r="U28" s="53" t="s">
        <v>22</v>
      </c>
      <c r="V28" s="53"/>
      <c r="W28" s="53" t="s">
        <v>23</v>
      </c>
      <c r="X28" s="56"/>
      <c r="Y28" s="56"/>
      <c r="Z28" s="53" t="s">
        <v>21</v>
      </c>
      <c r="AA28" s="53"/>
      <c r="AB28" s="53" t="s">
        <v>22</v>
      </c>
      <c r="AC28" s="53"/>
      <c r="AD28" s="53" t="s">
        <v>23</v>
      </c>
      <c r="AE28" s="53" t="s">
        <v>21</v>
      </c>
      <c r="AF28" s="53"/>
      <c r="AG28" s="53" t="s">
        <v>22</v>
      </c>
      <c r="AH28" s="53"/>
      <c r="AI28" s="53" t="s">
        <v>23</v>
      </c>
      <c r="AJ28" s="56"/>
      <c r="AK28" s="56"/>
      <c r="AL28" s="53" t="s">
        <v>21</v>
      </c>
      <c r="AM28" s="53"/>
      <c r="AN28" s="53" t="s">
        <v>22</v>
      </c>
      <c r="AO28" s="53"/>
      <c r="AP28" s="53" t="s">
        <v>23</v>
      </c>
      <c r="AQ28" s="53" t="s">
        <v>21</v>
      </c>
      <c r="AR28" s="53"/>
      <c r="AS28" s="53" t="s">
        <v>22</v>
      </c>
      <c r="AT28" s="53"/>
      <c r="AU28" s="53" t="s">
        <v>23</v>
      </c>
      <c r="AV28" s="56"/>
      <c r="AW28" s="56"/>
      <c r="AX28" s="53" t="s">
        <v>21</v>
      </c>
      <c r="AY28" s="53"/>
      <c r="AZ28" s="53" t="s">
        <v>22</v>
      </c>
      <c r="BA28" s="53"/>
      <c r="BB28" s="53" t="s">
        <v>23</v>
      </c>
      <c r="BC28" s="53" t="s">
        <v>21</v>
      </c>
      <c r="BD28" s="53"/>
      <c r="BE28" s="53" t="s">
        <v>22</v>
      </c>
      <c r="BF28" s="53"/>
      <c r="BG28" s="53" t="s">
        <v>23</v>
      </c>
      <c r="BH28" s="56"/>
      <c r="BI28" s="56"/>
      <c r="BJ28" s="53" t="s">
        <v>21</v>
      </c>
      <c r="BK28" s="53"/>
      <c r="BL28" s="53" t="s">
        <v>22</v>
      </c>
      <c r="BM28" s="53"/>
      <c r="BN28" s="53"/>
      <c r="BO28" s="53" t="s">
        <v>21</v>
      </c>
      <c r="BP28" s="53"/>
      <c r="BQ28" s="53" t="s">
        <v>22</v>
      </c>
      <c r="BR28" s="53"/>
      <c r="BS28" s="53"/>
      <c r="BT28" s="53" t="s">
        <v>24</v>
      </c>
      <c r="BU28" s="32"/>
      <c r="BV28" s="33"/>
      <c r="IP28" s="3"/>
      <c r="IQ28" s="3"/>
      <c r="IR28" s="3"/>
      <c r="IS28" s="3"/>
      <c r="IT28" s="3"/>
    </row>
    <row r="29" spans="1:254" s="2" customFormat="1" ht="12.75" customHeight="1" x14ac:dyDescent="0.2">
      <c r="A29" s="57"/>
      <c r="B29" s="57"/>
      <c r="C29" s="34" t="s">
        <v>24</v>
      </c>
      <c r="D29" s="34" t="s">
        <v>25</v>
      </c>
      <c r="E29" s="34" t="s">
        <v>24</v>
      </c>
      <c r="F29" s="34" t="s">
        <v>25</v>
      </c>
      <c r="G29" s="53"/>
      <c r="H29" s="34" t="s">
        <v>24</v>
      </c>
      <c r="I29" s="34" t="s">
        <v>25</v>
      </c>
      <c r="J29" s="34" t="s">
        <v>24</v>
      </c>
      <c r="K29" s="34" t="s">
        <v>25</v>
      </c>
      <c r="L29" s="53"/>
      <c r="M29" s="56"/>
      <c r="N29" s="34" t="s">
        <v>24</v>
      </c>
      <c r="O29" s="34" t="s">
        <v>25</v>
      </c>
      <c r="P29" s="34" t="s">
        <v>24</v>
      </c>
      <c r="Q29" s="34" t="s">
        <v>25</v>
      </c>
      <c r="R29" s="53"/>
      <c r="S29" s="34" t="s">
        <v>24</v>
      </c>
      <c r="T29" s="34" t="s">
        <v>25</v>
      </c>
      <c r="U29" s="34" t="s">
        <v>24</v>
      </c>
      <c r="V29" s="34" t="s">
        <v>25</v>
      </c>
      <c r="W29" s="53"/>
      <c r="X29" s="56"/>
      <c r="Y29" s="56"/>
      <c r="Z29" s="34" t="s">
        <v>24</v>
      </c>
      <c r="AA29" s="34" t="s">
        <v>25</v>
      </c>
      <c r="AB29" s="34" t="s">
        <v>24</v>
      </c>
      <c r="AC29" s="34" t="s">
        <v>25</v>
      </c>
      <c r="AD29" s="53"/>
      <c r="AE29" s="34" t="s">
        <v>24</v>
      </c>
      <c r="AF29" s="34" t="s">
        <v>25</v>
      </c>
      <c r="AG29" s="34" t="s">
        <v>24</v>
      </c>
      <c r="AH29" s="34" t="s">
        <v>25</v>
      </c>
      <c r="AI29" s="53"/>
      <c r="AJ29" s="56"/>
      <c r="AK29" s="56"/>
      <c r="AL29" s="34" t="s">
        <v>24</v>
      </c>
      <c r="AM29" s="34" t="s">
        <v>25</v>
      </c>
      <c r="AN29" s="34" t="s">
        <v>24</v>
      </c>
      <c r="AO29" s="34" t="s">
        <v>25</v>
      </c>
      <c r="AP29" s="53"/>
      <c r="AQ29" s="34" t="s">
        <v>24</v>
      </c>
      <c r="AR29" s="34" t="s">
        <v>25</v>
      </c>
      <c r="AS29" s="34" t="s">
        <v>24</v>
      </c>
      <c r="AT29" s="34" t="s">
        <v>25</v>
      </c>
      <c r="AU29" s="53"/>
      <c r="AV29" s="56"/>
      <c r="AW29" s="56"/>
      <c r="AX29" s="34" t="s">
        <v>24</v>
      </c>
      <c r="AY29" s="34" t="s">
        <v>25</v>
      </c>
      <c r="AZ29" s="34" t="s">
        <v>24</v>
      </c>
      <c r="BA29" s="34" t="s">
        <v>25</v>
      </c>
      <c r="BB29" s="53"/>
      <c r="BC29" s="34" t="s">
        <v>24</v>
      </c>
      <c r="BD29" s="34" t="s">
        <v>25</v>
      </c>
      <c r="BE29" s="34" t="s">
        <v>24</v>
      </c>
      <c r="BF29" s="34" t="s">
        <v>25</v>
      </c>
      <c r="BG29" s="53"/>
      <c r="BH29" s="56"/>
      <c r="BI29" s="56"/>
      <c r="BJ29" s="34" t="s">
        <v>24</v>
      </c>
      <c r="BK29" s="34" t="s">
        <v>25</v>
      </c>
      <c r="BL29" s="34" t="s">
        <v>24</v>
      </c>
      <c r="BM29" s="34" t="s">
        <v>25</v>
      </c>
      <c r="BN29" s="4" t="s">
        <v>23</v>
      </c>
      <c r="BO29" s="34" t="s">
        <v>24</v>
      </c>
      <c r="BP29" s="34" t="s">
        <v>25</v>
      </c>
      <c r="BQ29" s="34" t="s">
        <v>24</v>
      </c>
      <c r="BR29" s="34" t="s">
        <v>25</v>
      </c>
      <c r="BS29" s="4" t="s">
        <v>23</v>
      </c>
      <c r="BT29" s="53"/>
      <c r="BU29" s="34" t="s">
        <v>25</v>
      </c>
      <c r="BV29" s="4" t="s">
        <v>23</v>
      </c>
      <c r="IP29" s="3"/>
      <c r="IQ29" s="3"/>
      <c r="IR29" s="3"/>
      <c r="IS29" s="3"/>
      <c r="IT29" s="3"/>
    </row>
    <row r="30" spans="1:254" s="24" customFormat="1" ht="12.75" customHeight="1" x14ac:dyDescent="0.2">
      <c r="A30" s="14" t="s">
        <v>32</v>
      </c>
      <c r="B30" s="9">
        <v>294825854.81999999</v>
      </c>
      <c r="C30" s="8"/>
      <c r="D30" s="8"/>
      <c r="E30" s="8">
        <v>32064965.239999998</v>
      </c>
      <c r="F30" s="8">
        <v>45038445.969999999</v>
      </c>
      <c r="G30" s="8">
        <f>F30-E30</f>
        <v>12973480.73</v>
      </c>
      <c r="H30" s="10"/>
      <c r="I30" s="10"/>
      <c r="J30" s="8">
        <f>28146729.53-G30</f>
        <v>15173248.800000001</v>
      </c>
      <c r="K30" s="8">
        <v>23518446.5</v>
      </c>
      <c r="L30" s="8">
        <f>K30-J30</f>
        <v>8345197.6999999993</v>
      </c>
      <c r="M30" s="8">
        <f>F30+K30</f>
        <v>68556892.469999999</v>
      </c>
      <c r="N30" s="11"/>
      <c r="O30" s="11"/>
      <c r="P30" s="8">
        <f>22486662.77-L30</f>
        <v>14141465.07</v>
      </c>
      <c r="Q30" s="8"/>
      <c r="R30" s="8">
        <f>Q30-P30</f>
        <v>-14141465.07</v>
      </c>
      <c r="S30" s="10"/>
      <c r="T30" s="10"/>
      <c r="U30" s="8">
        <v>27989587.34</v>
      </c>
      <c r="V30" s="8"/>
      <c r="W30" s="8">
        <f>V30-U30</f>
        <v>-27989587.34</v>
      </c>
      <c r="X30" s="8">
        <f>P30+U30</f>
        <v>42131052.409999996</v>
      </c>
      <c r="Y30" s="9">
        <f>M30+X30</f>
        <v>110687944.88</v>
      </c>
      <c r="Z30" s="8"/>
      <c r="AA30" s="8"/>
      <c r="AB30" s="8">
        <v>25059313.190000001</v>
      </c>
      <c r="AC30" s="8"/>
      <c r="AD30" s="8">
        <f>AC30-AB30</f>
        <v>-25059313.190000001</v>
      </c>
      <c r="AE30" s="10"/>
      <c r="AF30" s="10"/>
      <c r="AG30" s="8">
        <v>20035480.559999999</v>
      </c>
      <c r="AH30" s="8"/>
      <c r="AI30" s="8">
        <f>AH30-AG30</f>
        <v>-20035480.559999999</v>
      </c>
      <c r="AJ30" s="8">
        <f>AB30+AG30</f>
        <v>45094793.75</v>
      </c>
      <c r="AK30" s="8">
        <f>Y30+AJ30</f>
        <v>155782738.63</v>
      </c>
      <c r="AL30" s="10"/>
      <c r="AM30" s="10"/>
      <c r="AN30" s="8">
        <v>22843696.850000001</v>
      </c>
      <c r="AO30" s="8"/>
      <c r="AP30" s="8">
        <f>AO30-AN30</f>
        <v>-22843696.850000001</v>
      </c>
      <c r="AQ30" s="10"/>
      <c r="AR30" s="10"/>
      <c r="AS30" s="8">
        <v>19656334.530000001</v>
      </c>
      <c r="AT30" s="8"/>
      <c r="AU30" s="8">
        <f>AT30-AS30</f>
        <v>-19656334.530000001</v>
      </c>
      <c r="AV30" s="8">
        <f>AN30+AS30</f>
        <v>42500031.380000003</v>
      </c>
      <c r="AW30" s="10">
        <f>AK30+AV30</f>
        <v>198282770.00999999</v>
      </c>
      <c r="AX30" s="10"/>
      <c r="AY30" s="10"/>
      <c r="AZ30" s="8">
        <v>19540173.210000001</v>
      </c>
      <c r="BA30" s="8"/>
      <c r="BB30" s="8">
        <f>BA30-AZ30</f>
        <v>-19540173.210000001</v>
      </c>
      <c r="BC30" s="8"/>
      <c r="BD30" s="8"/>
      <c r="BE30" s="8">
        <v>21197094.469999999</v>
      </c>
      <c r="BF30" s="8"/>
      <c r="BG30" s="8">
        <f>BF30-BE30</f>
        <v>-21197094.469999999</v>
      </c>
      <c r="BH30" s="8">
        <f>AZ30+BE30</f>
        <v>40737267.68</v>
      </c>
      <c r="BI30" s="8">
        <f>AW30+BH30</f>
        <v>239020037.69</v>
      </c>
      <c r="BJ30" s="10"/>
      <c r="BK30" s="10"/>
      <c r="BL30" s="8">
        <v>21312076.579999998</v>
      </c>
      <c r="BM30" s="8"/>
      <c r="BN30" s="10"/>
      <c r="BO30" s="8"/>
      <c r="BP30" s="10"/>
      <c r="BQ30" s="8">
        <v>34493740.549999997</v>
      </c>
      <c r="BR30" s="8"/>
      <c r="BS30" s="10"/>
      <c r="BT30" s="8">
        <f>SUM(M30+X30+AJ30+AV30+BH30+BL30+BQ30)</f>
        <v>294825854.81999999</v>
      </c>
      <c r="BU30" s="9" t="e">
        <f>#REF!+K30+Q30+V30+AC30+AH30+AO30+AT30+BA30+BF30+BM30+BR30</f>
        <v>#REF!</v>
      </c>
      <c r="BV30" s="11" t="e">
        <f>BT30-BU30</f>
        <v>#REF!</v>
      </c>
      <c r="IP30" s="3"/>
      <c r="IQ30" s="3"/>
      <c r="IR30" s="3"/>
      <c r="IS30" s="3"/>
      <c r="IT30" s="3"/>
    </row>
    <row r="31" spans="1:254" s="24" customFormat="1" ht="12.75" customHeight="1" x14ac:dyDescent="0.2">
      <c r="A31" s="14" t="s">
        <v>33</v>
      </c>
      <c r="B31" s="9">
        <v>289062802.81999999</v>
      </c>
      <c r="C31" s="8">
        <f>C24-C41</f>
        <v>4713000</v>
      </c>
      <c r="D31" s="8">
        <f>D24</f>
        <v>4704223.08</v>
      </c>
      <c r="E31" s="8">
        <v>16820239.460000001</v>
      </c>
      <c r="F31" s="8">
        <v>15383517.08</v>
      </c>
      <c r="G31" s="8">
        <f>C31-D31+E31-F31</f>
        <v>1445499.3000000026</v>
      </c>
      <c r="H31" s="8">
        <f>H51-H41</f>
        <v>3830776.92</v>
      </c>
      <c r="I31" s="8">
        <f>I24-I41</f>
        <v>3541016.2600000002</v>
      </c>
      <c r="J31" s="8">
        <f>18189967.33+G31</f>
        <v>19635466.630000003</v>
      </c>
      <c r="K31" s="8">
        <v>21616534.739999998</v>
      </c>
      <c r="L31" s="8">
        <f>SUM(H31-I31,J31-K31)</f>
        <v>-1691307.449999996</v>
      </c>
      <c r="M31" s="8">
        <f>D31+F31+I31+K31</f>
        <v>45245291.159999996</v>
      </c>
      <c r="N31" s="8">
        <f>N51-N41</f>
        <v>4124760.6599999997</v>
      </c>
      <c r="O31" s="8">
        <f>O51-O41</f>
        <v>0</v>
      </c>
      <c r="P31" s="8">
        <f>19845880.92+L31</f>
        <v>18154573.470000006</v>
      </c>
      <c r="Q31" s="8"/>
      <c r="R31" s="8">
        <f>SUM(N31-O31,P31-Q31)</f>
        <v>22279334.130000006</v>
      </c>
      <c r="S31" s="8">
        <f>S51-S41</f>
        <v>3835000</v>
      </c>
      <c r="T31" s="8">
        <f>T24-T41</f>
        <v>0</v>
      </c>
      <c r="U31" s="8">
        <v>20441076.780000001</v>
      </c>
      <c r="V31" s="8"/>
      <c r="W31" s="8">
        <f>SUM(S31-T31,U31-V31)</f>
        <v>24276076.780000001</v>
      </c>
      <c r="X31" s="8">
        <f>N31+P31+S31+U31</f>
        <v>46555410.910000011</v>
      </c>
      <c r="Y31" s="9">
        <f>M31+X31</f>
        <v>91800702.070000008</v>
      </c>
      <c r="Z31" s="8">
        <f>Z51-Z41</f>
        <v>3235000</v>
      </c>
      <c r="AA31" s="8">
        <f>AA51-AA41</f>
        <v>0</v>
      </c>
      <c r="AB31" s="8">
        <v>20299865.149999999</v>
      </c>
      <c r="AC31" s="8"/>
      <c r="AD31" s="8">
        <f>Z31-AA31+AB31-AC31</f>
        <v>23534865.149999999</v>
      </c>
      <c r="AE31" s="8">
        <f>AE51-AE41</f>
        <v>3235000</v>
      </c>
      <c r="AF31" s="8">
        <f>AF51-AF41</f>
        <v>0</v>
      </c>
      <c r="AG31" s="8">
        <v>19471406.699999999</v>
      </c>
      <c r="AH31" s="8"/>
      <c r="AI31" s="8">
        <f>AE31-AF31+AG31-AH31</f>
        <v>22706406.699999999</v>
      </c>
      <c r="AJ31" s="8">
        <f>Z31+AB31+AE31+AG31</f>
        <v>46241271.849999994</v>
      </c>
      <c r="AK31" s="8">
        <f>Y31+AJ31</f>
        <v>138041973.92000002</v>
      </c>
      <c r="AL31" s="8">
        <f>AL51-AL41</f>
        <v>2835000</v>
      </c>
      <c r="AM31" s="8">
        <f>AM51-AM41</f>
        <v>0</v>
      </c>
      <c r="AN31" s="8">
        <v>20368589.789999999</v>
      </c>
      <c r="AO31" s="8"/>
      <c r="AP31" s="8">
        <f>AL31-AM31+AN31-AO31</f>
        <v>23203589.789999999</v>
      </c>
      <c r="AQ31" s="8">
        <f>AQ51-AQ41</f>
        <v>2835000</v>
      </c>
      <c r="AR31" s="8">
        <f>AR51-AR41</f>
        <v>0</v>
      </c>
      <c r="AS31" s="8">
        <v>21363341.870000001</v>
      </c>
      <c r="AT31" s="8"/>
      <c r="AU31" s="8">
        <f>AQ31-AR31+AS31-AT31</f>
        <v>24198341.870000001</v>
      </c>
      <c r="AV31" s="8">
        <f>AL31+AN31+AQ31+AS31</f>
        <v>47401931.659999996</v>
      </c>
      <c r="AW31" s="9">
        <f>AK31+AV31</f>
        <v>185443905.58000001</v>
      </c>
      <c r="AX31" s="8">
        <f>AX51-AX41</f>
        <v>2835000</v>
      </c>
      <c r="AY31" s="8">
        <f>AY51-AY41</f>
        <v>0</v>
      </c>
      <c r="AZ31" s="8">
        <v>19424252.59</v>
      </c>
      <c r="BA31" s="8"/>
      <c r="BB31" s="8">
        <f>AX31-AY31+AZ31-BA31</f>
        <v>22259252.59</v>
      </c>
      <c r="BC31" s="8">
        <f>BC51-BC41</f>
        <v>2835000</v>
      </c>
      <c r="BD31" s="8">
        <f>BD51-BD41</f>
        <v>0</v>
      </c>
      <c r="BE31" s="8">
        <v>19638703.620000001</v>
      </c>
      <c r="BF31" s="8"/>
      <c r="BG31" s="8">
        <f>BC31-BD31+BE31-BF31</f>
        <v>22473703.620000001</v>
      </c>
      <c r="BH31" s="8">
        <f>AX31+AZ31+BC31+BE31</f>
        <v>44732956.210000001</v>
      </c>
      <c r="BI31" s="9">
        <f>AW31+BH31</f>
        <v>230176861.79000002</v>
      </c>
      <c r="BJ31" s="8">
        <f>BJ51-BJ41</f>
        <v>2555000</v>
      </c>
      <c r="BK31" s="9"/>
      <c r="BL31" s="8">
        <v>20320432.370000001</v>
      </c>
      <c r="BM31" s="9"/>
      <c r="BN31" s="9">
        <f>BM24</f>
        <v>0</v>
      </c>
      <c r="BO31" s="8">
        <f>BO51-BO41</f>
        <v>1672812.06</v>
      </c>
      <c r="BP31" s="9"/>
      <c r="BQ31" s="8">
        <v>34636234.18</v>
      </c>
      <c r="BR31" s="9"/>
      <c r="BS31" s="9">
        <f>BR24</f>
        <v>0</v>
      </c>
      <c r="BT31" s="8">
        <f>SUM(M31+X31+AJ31+AV31+BH31+BJ31+BL31+BO31+BQ31)</f>
        <v>289361340.40000004</v>
      </c>
      <c r="BU31" s="8">
        <f>BS24-BS25</f>
        <v>0</v>
      </c>
      <c r="BV31" s="8">
        <f>BT24-BT25</f>
        <v>739275704.5</v>
      </c>
      <c r="IP31" s="3"/>
      <c r="IQ31" s="3"/>
      <c r="IR31" s="3"/>
      <c r="IS31" s="3"/>
      <c r="IT31" s="3"/>
    </row>
    <row r="32" spans="1:254" s="24" customFormat="1" ht="12.75" customHeight="1" x14ac:dyDescent="0.2">
      <c r="A32" s="14" t="s">
        <v>56</v>
      </c>
      <c r="B32" s="9">
        <f>B30-B31</f>
        <v>5763052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9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9"/>
      <c r="BJ32" s="8"/>
      <c r="BK32" s="9"/>
      <c r="BL32" s="8"/>
      <c r="BM32" s="9"/>
      <c r="BN32" s="9"/>
      <c r="BO32" s="8"/>
      <c r="BP32" s="9"/>
      <c r="BQ32" s="8"/>
      <c r="BR32" s="9"/>
      <c r="BS32" s="9"/>
      <c r="BT32" s="8">
        <f>B32</f>
        <v>5763052</v>
      </c>
      <c r="BU32" s="8"/>
      <c r="BV32" s="8"/>
      <c r="IP32" s="3"/>
      <c r="IQ32" s="3"/>
      <c r="IR32" s="3"/>
      <c r="IS32" s="3"/>
      <c r="IT32" s="3"/>
    </row>
    <row r="33" spans="1:254" s="24" customFormat="1" ht="15.75" customHeight="1" x14ac:dyDescent="0.2">
      <c r="A33" s="14" t="s">
        <v>53</v>
      </c>
      <c r="B33" s="9"/>
      <c r="C33" s="8"/>
      <c r="D33" s="8"/>
      <c r="E33" s="8">
        <f>E30-C31-E31</f>
        <v>10531725.779999997</v>
      </c>
      <c r="F33" s="8">
        <f>F30-D31-F31</f>
        <v>24950705.810000002</v>
      </c>
      <c r="G33" s="8"/>
      <c r="H33" s="8"/>
      <c r="I33" s="8"/>
      <c r="J33" s="8">
        <f>J30-H31-J31</f>
        <v>-8292994.7500000019</v>
      </c>
      <c r="K33" s="8">
        <f>K30-I31-K31</f>
        <v>-1639104.5</v>
      </c>
      <c r="L33" s="8"/>
      <c r="M33" s="8">
        <f>M30-M31</f>
        <v>23311601.310000002</v>
      </c>
      <c r="N33" s="8"/>
      <c r="O33" s="8"/>
      <c r="P33" s="8">
        <f>P30-N31-P31</f>
        <v>-8137869.0600000061</v>
      </c>
      <c r="Q33" s="8">
        <f>K34</f>
        <v>45919201.340000033</v>
      </c>
      <c r="R33" s="9"/>
      <c r="S33" s="8"/>
      <c r="T33" s="8"/>
      <c r="U33" s="8">
        <f>U30-S31-U31</f>
        <v>3713510.5599999987</v>
      </c>
      <c r="V33" s="8">
        <f>Q34</f>
        <v>45919201.340000033</v>
      </c>
      <c r="W33" s="9"/>
      <c r="X33" s="8">
        <f>X30-X31</f>
        <v>-4424358.5000000149</v>
      </c>
      <c r="Y33" s="9"/>
      <c r="Z33" s="8"/>
      <c r="AA33" s="8"/>
      <c r="AB33" s="8">
        <f>AB30-Z31-AB31</f>
        <v>1524448.0400000028</v>
      </c>
      <c r="AC33" s="8">
        <f>W34</f>
        <v>0</v>
      </c>
      <c r="AD33" s="9"/>
      <c r="AE33" s="8"/>
      <c r="AF33" s="8"/>
      <c r="AG33" s="8">
        <f>AG30-AE31-AG31</f>
        <v>-2670926.1400000006</v>
      </c>
      <c r="AH33" s="8">
        <f>AC34</f>
        <v>0</v>
      </c>
      <c r="AI33" s="8"/>
      <c r="AJ33" s="8">
        <f>AJ30-AJ31</f>
        <v>-1146478.099999994</v>
      </c>
      <c r="AK33" s="8"/>
      <c r="AL33" s="8"/>
      <c r="AM33" s="8"/>
      <c r="AN33" s="8">
        <f>AN30-AL31-AN31</f>
        <v>-359892.93999999762</v>
      </c>
      <c r="AO33" s="8">
        <f>AH34</f>
        <v>0</v>
      </c>
      <c r="AP33" s="8"/>
      <c r="AQ33" s="8"/>
      <c r="AR33" s="8"/>
      <c r="AS33" s="8">
        <f>AS30-AQ31-AS31</f>
        <v>-4542007.34</v>
      </c>
      <c r="AT33" s="8">
        <f>AO34</f>
        <v>0</v>
      </c>
      <c r="AU33" s="8"/>
      <c r="AV33" s="8">
        <f>AV30-AV31</f>
        <v>-4901900.2799999937</v>
      </c>
      <c r="AW33" s="9"/>
      <c r="AX33" s="8"/>
      <c r="AY33" s="8"/>
      <c r="AZ33" s="8">
        <f>AZ30-AX31-AZ31</f>
        <v>-2719079.379999999</v>
      </c>
      <c r="BA33" s="8">
        <f>AV34</f>
        <v>35446464.460000001</v>
      </c>
      <c r="BB33" s="8"/>
      <c r="BC33" s="8"/>
      <c r="BD33" s="8"/>
      <c r="BE33" s="8">
        <f>BE30-BC31-BE31</f>
        <v>-1276609.1500000022</v>
      </c>
      <c r="BF33" s="8">
        <f>BA34</f>
        <v>35446464.460000001</v>
      </c>
      <c r="BG33" s="8"/>
      <c r="BH33" s="8">
        <f>BH30-BH31</f>
        <v>-3995688.5300000012</v>
      </c>
      <c r="BI33" s="9"/>
      <c r="BJ33" s="8"/>
      <c r="BK33" s="9"/>
      <c r="BL33" s="8">
        <f>BL30-BJ31-BL31</f>
        <v>-1563355.7900000028</v>
      </c>
      <c r="BM33" s="9"/>
      <c r="BN33" s="9"/>
      <c r="BO33" s="8"/>
      <c r="BP33" s="9"/>
      <c r="BQ33" s="8">
        <f>BQ30-BO31-BQ31</f>
        <v>-1815305.6900000013</v>
      </c>
      <c r="BR33" s="9"/>
      <c r="BS33" s="9"/>
      <c r="BT33" s="8">
        <v>0</v>
      </c>
      <c r="BU33" s="8"/>
      <c r="BV33" s="8"/>
      <c r="IP33" s="3"/>
      <c r="IQ33" s="3"/>
      <c r="IR33" s="3"/>
      <c r="IS33" s="3"/>
      <c r="IT33" s="3"/>
    </row>
    <row r="34" spans="1:254" s="24" customFormat="1" ht="15.75" customHeight="1" x14ac:dyDescent="0.2">
      <c r="A34" s="14" t="s">
        <v>54</v>
      </c>
      <c r="B34" s="9">
        <f>B30+B35-B31-B32</f>
        <v>22607600.030000031</v>
      </c>
      <c r="C34" s="8"/>
      <c r="D34" s="8"/>
      <c r="E34" s="8">
        <f>E33+B34</f>
        <v>33139325.810000028</v>
      </c>
      <c r="F34" s="8">
        <f>F33+B34</f>
        <v>47558305.840000033</v>
      </c>
      <c r="G34" s="8"/>
      <c r="H34" s="8"/>
      <c r="I34" s="8"/>
      <c r="J34" s="8">
        <f>J33+F34</f>
        <v>39265311.090000033</v>
      </c>
      <c r="K34" s="8">
        <f>K33+F34</f>
        <v>45919201.340000033</v>
      </c>
      <c r="L34" s="8"/>
      <c r="M34" s="8">
        <f>M33+B35</f>
        <v>45919201.340000004</v>
      </c>
      <c r="N34" s="11"/>
      <c r="O34" s="11"/>
      <c r="P34" s="8">
        <f>P33+K34</f>
        <v>37781332.280000031</v>
      </c>
      <c r="Q34" s="8">
        <f>Q30+Q35-O31-Q31+Q33</f>
        <v>45919201.340000033</v>
      </c>
      <c r="R34" s="8"/>
      <c r="S34" s="8"/>
      <c r="T34" s="8"/>
      <c r="U34" s="8">
        <f>U33+P34</f>
        <v>41494842.840000033</v>
      </c>
      <c r="V34" s="8">
        <f>V30+V35-T31-V31+V33</f>
        <v>45919201.340000033</v>
      </c>
      <c r="W34" s="8"/>
      <c r="X34" s="8">
        <f>X33+M34</f>
        <v>41494842.839999989</v>
      </c>
      <c r="Y34" s="8" t="e">
        <f>Y30+Y31+#REF!</f>
        <v>#REF!</v>
      </c>
      <c r="Z34" s="8"/>
      <c r="AA34" s="8"/>
      <c r="AB34" s="8">
        <f>AB33+U34</f>
        <v>43019290.88000004</v>
      </c>
      <c r="AC34" s="8">
        <f>AC30+AC35-AA31-AC31+AC33</f>
        <v>0</v>
      </c>
      <c r="AD34" s="8"/>
      <c r="AE34" s="8" t="s">
        <v>27</v>
      </c>
      <c r="AF34" s="8"/>
      <c r="AG34" s="8">
        <f>AG33+AB34</f>
        <v>40348364.740000039</v>
      </c>
      <c r="AH34" s="8">
        <f>AH30+AH35-AF31-AH31+AH33</f>
        <v>0</v>
      </c>
      <c r="AI34" s="8"/>
      <c r="AJ34" s="8">
        <f>AJ33+X34</f>
        <v>40348364.739999995</v>
      </c>
      <c r="AK34" s="8" t="e">
        <f>AK30+AK31+#REF!-#REF!-#REF!-#REF!-#REF!</f>
        <v>#REF!</v>
      </c>
      <c r="AL34" s="8" t="s">
        <v>27</v>
      </c>
      <c r="AM34" s="8"/>
      <c r="AN34" s="8">
        <f>AN33+AG34</f>
        <v>39988471.800000042</v>
      </c>
      <c r="AO34" s="8">
        <f>AO30+AO35-AM31-AO31+AO33</f>
        <v>0</v>
      </c>
      <c r="AP34" s="8"/>
      <c r="AQ34" s="8"/>
      <c r="AR34" s="8"/>
      <c r="AS34" s="8">
        <f>AS33+AN34</f>
        <v>35446464.460000038</v>
      </c>
      <c r="AT34" s="8">
        <f>AT30+AT35-AR31-AT31+AT33</f>
        <v>0</v>
      </c>
      <c r="AU34" s="8"/>
      <c r="AV34" s="8">
        <f>AV33+AJ34</f>
        <v>35446464.460000001</v>
      </c>
      <c r="AW34" s="8" t="e">
        <f>AW30+AW31+#REF!-#REF!-#REF!-#REF!-#REF!</f>
        <v>#REF!</v>
      </c>
      <c r="AX34" s="8"/>
      <c r="AY34" s="8"/>
      <c r="AZ34" s="8">
        <f>AZ33+AV34</f>
        <v>32727385.080000002</v>
      </c>
      <c r="BA34" s="8">
        <f>BA30+BA35-AY31-BA31+BA33</f>
        <v>35446464.460000001</v>
      </c>
      <c r="BB34" s="8"/>
      <c r="BC34" s="8"/>
      <c r="BD34" s="8"/>
      <c r="BE34" s="8">
        <f>BE33+AZ34</f>
        <v>31450775.93</v>
      </c>
      <c r="BF34" s="8">
        <f>BF30+BF35-BD31-BF31+BF33</f>
        <v>35446464.460000001</v>
      </c>
      <c r="BG34" s="8"/>
      <c r="BH34" s="8">
        <f>BH33+AV34</f>
        <v>31450775.93</v>
      </c>
      <c r="BI34" s="8" t="e">
        <f>BI30+BI31+#REF!-#REF!-#REF!-#REF!-#REF!</f>
        <v>#REF!</v>
      </c>
      <c r="BJ34" s="8"/>
      <c r="BK34" s="8"/>
      <c r="BL34" s="8">
        <f>BL33+BH34</f>
        <v>29887420.139999997</v>
      </c>
      <c r="BM34" s="8">
        <f>BM30-SUM(BM31:BM33)</f>
        <v>0</v>
      </c>
      <c r="BN34" s="8">
        <f>BN30-SUM(BN31:BN33)</f>
        <v>0</v>
      </c>
      <c r="BO34" s="8"/>
      <c r="BP34" s="8"/>
      <c r="BQ34" s="8">
        <f>BQ33+BL34</f>
        <v>28072114.449999996</v>
      </c>
      <c r="BR34" s="8">
        <f>BR30-SUM(BR31:BR33)</f>
        <v>0</v>
      </c>
      <c r="BS34" s="8">
        <f>BS30-SUM(BS31:BS33)</f>
        <v>0</v>
      </c>
      <c r="BT34" s="8">
        <f>BT30-BT31</f>
        <v>5464514.4199999571</v>
      </c>
      <c r="BU34" s="8" t="e">
        <f>BU30-SUM(BV31:BV33)</f>
        <v>#REF!</v>
      </c>
      <c r="BV34" s="8" t="e">
        <f>BV30-SUM(#REF!)</f>
        <v>#REF!</v>
      </c>
      <c r="IP34" s="3"/>
      <c r="IQ34" s="3"/>
      <c r="IR34" s="3"/>
      <c r="IS34" s="3"/>
      <c r="IT34" s="3"/>
    </row>
    <row r="35" spans="1:254" s="24" customFormat="1" ht="12.75" customHeight="1" x14ac:dyDescent="0.2">
      <c r="A35" s="48" t="s">
        <v>35</v>
      </c>
      <c r="B35" s="45">
        <v>22607600.030000001</v>
      </c>
      <c r="C35" s="43"/>
      <c r="D35" s="43"/>
      <c r="E35" s="43">
        <f>B35</f>
        <v>22607600.030000001</v>
      </c>
      <c r="F35" s="43">
        <v>4962002.37</v>
      </c>
      <c r="G35" s="43">
        <f>E35-F35</f>
        <v>17645597.66</v>
      </c>
      <c r="H35" s="43"/>
      <c r="I35" s="43"/>
      <c r="J35" s="43">
        <f>G35</f>
        <v>17645597.66</v>
      </c>
      <c r="K35" s="43">
        <v>2262534.36</v>
      </c>
      <c r="L35" s="43">
        <f>J35-K35</f>
        <v>15383063.300000001</v>
      </c>
      <c r="M35" s="43">
        <f>F35+K35</f>
        <v>7224536.7300000004</v>
      </c>
      <c r="N35" s="49"/>
      <c r="O35" s="49"/>
      <c r="P35" s="43"/>
      <c r="Q35" s="43"/>
      <c r="R35" s="43">
        <f>L35-Q35</f>
        <v>15383063.300000001</v>
      </c>
      <c r="S35" s="43"/>
      <c r="T35" s="43"/>
      <c r="U35" s="43">
        <f>R35</f>
        <v>15383063.300000001</v>
      </c>
      <c r="V35" s="43"/>
      <c r="W35" s="43">
        <f>U35-V35</f>
        <v>15383063.300000001</v>
      </c>
      <c r="X35" s="43">
        <f>Q35+V35</f>
        <v>0</v>
      </c>
      <c r="Y35" s="45"/>
      <c r="Z35" s="43"/>
      <c r="AA35" s="43"/>
      <c r="AB35" s="43">
        <f>W35</f>
        <v>15383063.300000001</v>
      </c>
      <c r="AC35" s="43"/>
      <c r="AD35" s="43">
        <f>W35-AC35</f>
        <v>15383063.300000001</v>
      </c>
      <c r="AE35" s="43"/>
      <c r="AF35" s="43"/>
      <c r="AG35" s="43">
        <f>AD35</f>
        <v>15383063.300000001</v>
      </c>
      <c r="AH35" s="43"/>
      <c r="AI35" s="43">
        <f>AD35-AH35</f>
        <v>15383063.300000001</v>
      </c>
      <c r="AJ35" s="43">
        <f>AC35+AH35</f>
        <v>0</v>
      </c>
      <c r="AK35" s="43"/>
      <c r="AL35" s="43"/>
      <c r="AM35" s="43"/>
      <c r="AN35" s="43">
        <f>AI35</f>
        <v>15383063.300000001</v>
      </c>
      <c r="AO35" s="43"/>
      <c r="AP35" s="43">
        <f>AI35-AO35</f>
        <v>15383063.300000001</v>
      </c>
      <c r="AQ35" s="43"/>
      <c r="AR35" s="43"/>
      <c r="AS35" s="43"/>
      <c r="AT35" s="43"/>
      <c r="AU35" s="43">
        <v>0</v>
      </c>
      <c r="AV35" s="43">
        <v>0</v>
      </c>
      <c r="AW35" s="43"/>
      <c r="AX35" s="43"/>
      <c r="AY35" s="43"/>
      <c r="AZ35" s="43">
        <f>AP35</f>
        <v>15383063.300000001</v>
      </c>
      <c r="BA35" s="43"/>
      <c r="BB35" s="43">
        <f>AZ35-BA35</f>
        <v>15383063.300000001</v>
      </c>
      <c r="BC35" s="43"/>
      <c r="BD35" s="43"/>
      <c r="BE35" s="43">
        <f>BB35</f>
        <v>15383063.300000001</v>
      </c>
      <c r="BF35" s="43"/>
      <c r="BG35" s="43">
        <f>BB35</f>
        <v>15383063.300000001</v>
      </c>
      <c r="BH35" s="43">
        <v>0</v>
      </c>
      <c r="BI35" s="43"/>
      <c r="BJ35" s="43"/>
      <c r="BK35" s="43"/>
      <c r="BL35" s="43">
        <f>BG35</f>
        <v>15383063.300000001</v>
      </c>
      <c r="BM35" s="43"/>
      <c r="BN35" s="43"/>
      <c r="BO35" s="43"/>
      <c r="BP35" s="43"/>
      <c r="BQ35" s="43"/>
      <c r="BR35" s="43"/>
      <c r="BS35" s="43"/>
      <c r="BT35" s="43">
        <f>B35</f>
        <v>22607600.030000001</v>
      </c>
      <c r="BU35" s="8"/>
      <c r="BV35" s="8"/>
      <c r="IP35" s="3"/>
      <c r="IQ35" s="3"/>
      <c r="IR35" s="3"/>
      <c r="IS35" s="3"/>
      <c r="IT35" s="3"/>
    </row>
    <row r="36" spans="1:254" ht="12.75" customHeight="1" x14ac:dyDescent="0.2">
      <c r="G36" s="24"/>
      <c r="H36" s="20"/>
      <c r="I36" s="20"/>
      <c r="K36" s="24"/>
      <c r="N36" s="19"/>
      <c r="O36" s="19"/>
      <c r="P36" s="24"/>
      <c r="Q36" s="16"/>
      <c r="R36" s="20"/>
      <c r="S36" s="20"/>
      <c r="T36" s="20"/>
      <c r="V36" s="24"/>
      <c r="W36" s="24"/>
      <c r="X36" s="24"/>
      <c r="AB36" s="16"/>
      <c r="AD36" s="20"/>
      <c r="AE36" s="20"/>
      <c r="AF36" s="20"/>
      <c r="AH36" s="24"/>
      <c r="AJ36" s="20"/>
      <c r="AK36" s="20"/>
      <c r="AL36" s="20"/>
      <c r="AN36" s="16"/>
      <c r="AO36" s="24"/>
      <c r="AR36" s="20"/>
      <c r="AT36" s="24"/>
      <c r="AV36" s="20"/>
      <c r="AW36" s="20"/>
      <c r="AX36" s="20"/>
      <c r="AZ36" s="24"/>
      <c r="BA36" s="24"/>
      <c r="BB36" s="24"/>
      <c r="BC36" s="24"/>
      <c r="BG36" s="20"/>
      <c r="BH36" s="20"/>
      <c r="BI36" s="20"/>
      <c r="BJ36" s="20"/>
      <c r="BL36" s="16"/>
      <c r="BM36" s="24"/>
      <c r="BN36" s="24"/>
      <c r="BO36" s="24"/>
      <c r="BT36" s="16"/>
      <c r="BU36" s="16"/>
      <c r="BV36" s="19"/>
      <c r="BW36" s="2"/>
      <c r="IP36" s="3"/>
      <c r="IQ36" s="3"/>
      <c r="IR36" s="3"/>
      <c r="IS36" s="3"/>
    </row>
    <row r="37" spans="1:254" s="2" customFormat="1" ht="12.75" customHeight="1" x14ac:dyDescent="0.2">
      <c r="A37" s="57" t="s">
        <v>34</v>
      </c>
      <c r="B37" s="57"/>
      <c r="C37" s="53" t="s">
        <v>2</v>
      </c>
      <c r="D37" s="53"/>
      <c r="E37" s="53"/>
      <c r="F37" s="53"/>
      <c r="G37" s="34"/>
      <c r="H37" s="53" t="s">
        <v>3</v>
      </c>
      <c r="I37" s="53"/>
      <c r="J37" s="53"/>
      <c r="K37" s="53"/>
      <c r="L37" s="53"/>
      <c r="M37" s="56" t="s">
        <v>4</v>
      </c>
      <c r="N37" s="53" t="s">
        <v>5</v>
      </c>
      <c r="O37" s="53"/>
      <c r="P37" s="53"/>
      <c r="Q37" s="53"/>
      <c r="R37" s="53"/>
      <c r="S37" s="53" t="s">
        <v>6</v>
      </c>
      <c r="T37" s="53"/>
      <c r="U37" s="53"/>
      <c r="V37" s="53"/>
      <c r="W37" s="53"/>
      <c r="X37" s="56" t="s">
        <v>7</v>
      </c>
      <c r="Y37" s="56" t="s">
        <v>8</v>
      </c>
      <c r="Z37" s="53" t="s">
        <v>9</v>
      </c>
      <c r="AA37" s="53"/>
      <c r="AB37" s="53"/>
      <c r="AC37" s="53"/>
      <c r="AD37" s="53"/>
      <c r="AE37" s="53" t="s">
        <v>10</v>
      </c>
      <c r="AF37" s="53"/>
      <c r="AG37" s="53"/>
      <c r="AH37" s="53"/>
      <c r="AI37" s="53"/>
      <c r="AJ37" s="56" t="s">
        <v>11</v>
      </c>
      <c r="AK37" s="56" t="s">
        <v>8</v>
      </c>
      <c r="AL37" s="53" t="s">
        <v>12</v>
      </c>
      <c r="AM37" s="53"/>
      <c r="AN37" s="53"/>
      <c r="AO37" s="53"/>
      <c r="AP37" s="53"/>
      <c r="AQ37" s="53" t="s">
        <v>13</v>
      </c>
      <c r="AR37" s="53"/>
      <c r="AS37" s="53"/>
      <c r="AT37" s="53"/>
      <c r="AU37" s="53"/>
      <c r="AV37" s="56" t="s">
        <v>14</v>
      </c>
      <c r="AW37" s="56" t="s">
        <v>8</v>
      </c>
      <c r="AX37" s="53" t="s">
        <v>15</v>
      </c>
      <c r="AY37" s="53"/>
      <c r="AZ37" s="53"/>
      <c r="BA37" s="53"/>
      <c r="BB37" s="53"/>
      <c r="BC37" s="53" t="s">
        <v>16</v>
      </c>
      <c r="BD37" s="53"/>
      <c r="BE37" s="53"/>
      <c r="BF37" s="53"/>
      <c r="BG37" s="53"/>
      <c r="BH37" s="56" t="s">
        <v>17</v>
      </c>
      <c r="BI37" s="56" t="s">
        <v>8</v>
      </c>
      <c r="BJ37" s="53" t="s">
        <v>18</v>
      </c>
      <c r="BK37" s="53"/>
      <c r="BL37" s="53"/>
      <c r="BM37" s="53"/>
      <c r="BN37" s="53"/>
      <c r="BO37" s="53" t="s">
        <v>19</v>
      </c>
      <c r="BP37" s="53"/>
      <c r="BQ37" s="53"/>
      <c r="BR37" s="53"/>
      <c r="BS37" s="53"/>
      <c r="BT37" s="36" t="s">
        <v>20</v>
      </c>
      <c r="BU37" s="30"/>
      <c r="BV37" s="31"/>
      <c r="IP37" s="3"/>
      <c r="IQ37" s="3"/>
      <c r="IR37" s="3"/>
      <c r="IS37" s="3"/>
      <c r="IT37" s="3"/>
    </row>
    <row r="38" spans="1:254" s="2" customFormat="1" ht="12.75" customHeight="1" x14ac:dyDescent="0.2">
      <c r="A38" s="57"/>
      <c r="B38" s="57"/>
      <c r="C38" s="53" t="s">
        <v>21</v>
      </c>
      <c r="D38" s="53"/>
      <c r="E38" s="53" t="s">
        <v>22</v>
      </c>
      <c r="F38" s="53"/>
      <c r="G38" s="53" t="s">
        <v>23</v>
      </c>
      <c r="H38" s="53" t="s">
        <v>21</v>
      </c>
      <c r="I38" s="53"/>
      <c r="J38" s="53" t="s">
        <v>22</v>
      </c>
      <c r="K38" s="53"/>
      <c r="L38" s="53" t="s">
        <v>23</v>
      </c>
      <c r="M38" s="56"/>
      <c r="N38" s="53" t="s">
        <v>21</v>
      </c>
      <c r="O38" s="53"/>
      <c r="P38" s="53" t="s">
        <v>22</v>
      </c>
      <c r="Q38" s="53"/>
      <c r="R38" s="53" t="s">
        <v>23</v>
      </c>
      <c r="S38" s="53" t="s">
        <v>21</v>
      </c>
      <c r="T38" s="53"/>
      <c r="U38" s="53" t="s">
        <v>22</v>
      </c>
      <c r="V38" s="53"/>
      <c r="W38" s="53" t="s">
        <v>23</v>
      </c>
      <c r="X38" s="56"/>
      <c r="Y38" s="56"/>
      <c r="Z38" s="53" t="s">
        <v>21</v>
      </c>
      <c r="AA38" s="53"/>
      <c r="AB38" s="53" t="s">
        <v>22</v>
      </c>
      <c r="AC38" s="53"/>
      <c r="AD38" s="53" t="s">
        <v>23</v>
      </c>
      <c r="AE38" s="53" t="s">
        <v>21</v>
      </c>
      <c r="AF38" s="53"/>
      <c r="AG38" s="53" t="s">
        <v>22</v>
      </c>
      <c r="AH38" s="53"/>
      <c r="AI38" s="53" t="s">
        <v>23</v>
      </c>
      <c r="AJ38" s="56"/>
      <c r="AK38" s="56"/>
      <c r="AL38" s="53" t="s">
        <v>21</v>
      </c>
      <c r="AM38" s="53"/>
      <c r="AN38" s="53" t="s">
        <v>22</v>
      </c>
      <c r="AO38" s="53"/>
      <c r="AP38" s="53" t="s">
        <v>23</v>
      </c>
      <c r="AQ38" s="53" t="s">
        <v>21</v>
      </c>
      <c r="AR38" s="53"/>
      <c r="AS38" s="53" t="s">
        <v>22</v>
      </c>
      <c r="AT38" s="53"/>
      <c r="AU38" s="53" t="s">
        <v>23</v>
      </c>
      <c r="AV38" s="56"/>
      <c r="AW38" s="56"/>
      <c r="AX38" s="53" t="s">
        <v>21</v>
      </c>
      <c r="AY38" s="53"/>
      <c r="AZ38" s="53" t="s">
        <v>22</v>
      </c>
      <c r="BA38" s="53"/>
      <c r="BB38" s="53" t="s">
        <v>23</v>
      </c>
      <c r="BC38" s="53" t="s">
        <v>21</v>
      </c>
      <c r="BD38" s="53"/>
      <c r="BE38" s="53" t="s">
        <v>22</v>
      </c>
      <c r="BF38" s="53"/>
      <c r="BG38" s="53" t="s">
        <v>23</v>
      </c>
      <c r="BH38" s="56"/>
      <c r="BI38" s="56"/>
      <c r="BJ38" s="53" t="s">
        <v>21</v>
      </c>
      <c r="BK38" s="53"/>
      <c r="BL38" s="53" t="s">
        <v>22</v>
      </c>
      <c r="BM38" s="53"/>
      <c r="BN38" s="53"/>
      <c r="BO38" s="53" t="s">
        <v>21</v>
      </c>
      <c r="BP38" s="53"/>
      <c r="BQ38" s="53" t="s">
        <v>22</v>
      </c>
      <c r="BR38" s="53"/>
      <c r="BS38" s="53"/>
      <c r="BT38" s="53" t="s">
        <v>24</v>
      </c>
      <c r="BU38" s="32"/>
      <c r="BV38" s="33"/>
      <c r="IP38" s="3"/>
      <c r="IQ38" s="3"/>
      <c r="IR38" s="3"/>
      <c r="IS38" s="3"/>
      <c r="IT38" s="3"/>
    </row>
    <row r="39" spans="1:254" s="2" customFormat="1" ht="12.75" customHeight="1" x14ac:dyDescent="0.2">
      <c r="A39" s="57"/>
      <c r="B39" s="57"/>
      <c r="C39" s="34" t="s">
        <v>24</v>
      </c>
      <c r="D39" s="34" t="s">
        <v>25</v>
      </c>
      <c r="E39" s="34" t="s">
        <v>24</v>
      </c>
      <c r="F39" s="34" t="s">
        <v>25</v>
      </c>
      <c r="G39" s="53"/>
      <c r="H39" s="34" t="s">
        <v>24</v>
      </c>
      <c r="I39" s="34" t="s">
        <v>25</v>
      </c>
      <c r="J39" s="34" t="s">
        <v>24</v>
      </c>
      <c r="K39" s="34" t="s">
        <v>25</v>
      </c>
      <c r="L39" s="53"/>
      <c r="M39" s="56"/>
      <c r="N39" s="34" t="s">
        <v>24</v>
      </c>
      <c r="O39" s="34" t="s">
        <v>25</v>
      </c>
      <c r="P39" s="34" t="s">
        <v>24</v>
      </c>
      <c r="Q39" s="34" t="s">
        <v>25</v>
      </c>
      <c r="R39" s="53"/>
      <c r="S39" s="34" t="s">
        <v>24</v>
      </c>
      <c r="T39" s="34" t="s">
        <v>25</v>
      </c>
      <c r="U39" s="34" t="s">
        <v>24</v>
      </c>
      <c r="V39" s="34" t="s">
        <v>25</v>
      </c>
      <c r="W39" s="53"/>
      <c r="X39" s="56"/>
      <c r="Y39" s="56"/>
      <c r="Z39" s="34" t="s">
        <v>24</v>
      </c>
      <c r="AA39" s="34" t="s">
        <v>25</v>
      </c>
      <c r="AB39" s="34" t="s">
        <v>24</v>
      </c>
      <c r="AC39" s="34" t="s">
        <v>25</v>
      </c>
      <c r="AD39" s="53"/>
      <c r="AE39" s="34" t="s">
        <v>24</v>
      </c>
      <c r="AF39" s="34" t="s">
        <v>25</v>
      </c>
      <c r="AG39" s="34" t="s">
        <v>24</v>
      </c>
      <c r="AH39" s="34" t="s">
        <v>25</v>
      </c>
      <c r="AI39" s="53"/>
      <c r="AJ39" s="56"/>
      <c r="AK39" s="56"/>
      <c r="AL39" s="34" t="s">
        <v>24</v>
      </c>
      <c r="AM39" s="34" t="s">
        <v>25</v>
      </c>
      <c r="AN39" s="34" t="s">
        <v>24</v>
      </c>
      <c r="AO39" s="34" t="s">
        <v>25</v>
      </c>
      <c r="AP39" s="53"/>
      <c r="AQ39" s="34" t="s">
        <v>24</v>
      </c>
      <c r="AR39" s="34" t="s">
        <v>25</v>
      </c>
      <c r="AS39" s="34" t="s">
        <v>24</v>
      </c>
      <c r="AT39" s="34" t="s">
        <v>25</v>
      </c>
      <c r="AU39" s="53"/>
      <c r="AV39" s="56"/>
      <c r="AW39" s="56"/>
      <c r="AX39" s="34" t="s">
        <v>24</v>
      </c>
      <c r="AY39" s="34" t="s">
        <v>25</v>
      </c>
      <c r="AZ39" s="34" t="s">
        <v>24</v>
      </c>
      <c r="BA39" s="34" t="s">
        <v>25</v>
      </c>
      <c r="BB39" s="53"/>
      <c r="BC39" s="34" t="s">
        <v>24</v>
      </c>
      <c r="BD39" s="34" t="s">
        <v>25</v>
      </c>
      <c r="BE39" s="34" t="s">
        <v>24</v>
      </c>
      <c r="BF39" s="34" t="s">
        <v>25</v>
      </c>
      <c r="BG39" s="53"/>
      <c r="BH39" s="56"/>
      <c r="BI39" s="56"/>
      <c r="BJ39" s="34" t="s">
        <v>24</v>
      </c>
      <c r="BK39" s="34" t="s">
        <v>25</v>
      </c>
      <c r="BL39" s="34" t="s">
        <v>24</v>
      </c>
      <c r="BM39" s="34" t="s">
        <v>25</v>
      </c>
      <c r="BN39" s="4" t="s">
        <v>23</v>
      </c>
      <c r="BO39" s="34" t="s">
        <v>24</v>
      </c>
      <c r="BP39" s="34" t="s">
        <v>25</v>
      </c>
      <c r="BQ39" s="34" t="s">
        <v>24</v>
      </c>
      <c r="BR39" s="34" t="s">
        <v>25</v>
      </c>
      <c r="BS39" s="4" t="s">
        <v>23</v>
      </c>
      <c r="BT39" s="53"/>
      <c r="BU39" s="34" t="s">
        <v>25</v>
      </c>
      <c r="BV39" s="4" t="s">
        <v>23</v>
      </c>
      <c r="IP39" s="3"/>
      <c r="IQ39" s="3"/>
      <c r="IR39" s="3"/>
      <c r="IS39" s="3"/>
      <c r="IT39" s="3"/>
    </row>
    <row r="40" spans="1:254" s="24" customFormat="1" ht="12.75" customHeight="1" x14ac:dyDescent="0.2">
      <c r="A40" s="14" t="s">
        <v>32</v>
      </c>
      <c r="B40" s="9">
        <f>B50-B30</f>
        <v>388696145.18000001</v>
      </c>
      <c r="C40" s="8"/>
      <c r="D40" s="8"/>
      <c r="E40" s="8">
        <f>E50-E30</f>
        <v>52406453.429999992</v>
      </c>
      <c r="F40" s="8">
        <f>F50-F30</f>
        <v>41776762.390000001</v>
      </c>
      <c r="G40" s="8">
        <f>F40-E40</f>
        <v>-10629691.039999992</v>
      </c>
      <c r="H40" s="10"/>
      <c r="I40" s="10"/>
      <c r="J40" s="8">
        <f>J50-J30</f>
        <v>49335395.75999999</v>
      </c>
      <c r="K40" s="8">
        <f>K50-K30</f>
        <v>29004127.079999998</v>
      </c>
      <c r="L40" s="8">
        <f>K40-J40</f>
        <v>-20331268.679999992</v>
      </c>
      <c r="M40" s="8">
        <f>F40+K40</f>
        <v>70780889.469999999</v>
      </c>
      <c r="N40" s="11"/>
      <c r="O40" s="11"/>
      <c r="P40" s="8">
        <f>P50-P30</f>
        <v>49977512.429999992</v>
      </c>
      <c r="Q40" s="8">
        <f>Q50-Q30</f>
        <v>0</v>
      </c>
      <c r="R40" s="8">
        <f>Q40-P40</f>
        <v>-49977512.429999992</v>
      </c>
      <c r="S40" s="10"/>
      <c r="T40" s="10"/>
      <c r="U40" s="8">
        <f>U50-U30</f>
        <v>36901257.209999993</v>
      </c>
      <c r="V40" s="8">
        <f>V50-V30</f>
        <v>0</v>
      </c>
      <c r="W40" s="8">
        <f>V40-U40</f>
        <v>-36901257.209999993</v>
      </c>
      <c r="X40" s="8">
        <f>P40+U40</f>
        <v>86878769.639999986</v>
      </c>
      <c r="Y40" s="9">
        <f>M40+X40</f>
        <v>157659659.10999998</v>
      </c>
      <c r="Z40" s="8"/>
      <c r="AA40" s="8"/>
      <c r="AB40" s="8">
        <f>AB50-AB30</f>
        <v>33038006.289999995</v>
      </c>
      <c r="AC40" s="8">
        <f>AC50-AC30</f>
        <v>0</v>
      </c>
      <c r="AD40" s="8">
        <f>AC40-AB40</f>
        <v>-33038006.289999995</v>
      </c>
      <c r="AE40" s="8"/>
      <c r="AF40" s="8"/>
      <c r="AG40" s="8">
        <f>AG50-AG30</f>
        <v>26414624.010000002</v>
      </c>
      <c r="AH40" s="8">
        <f>AH50-AH30</f>
        <v>0</v>
      </c>
      <c r="AI40" s="8">
        <f>AH40-AG40</f>
        <v>-26414624.010000002</v>
      </c>
      <c r="AJ40" s="8">
        <f>AB40+AG40</f>
        <v>59452630.299999997</v>
      </c>
      <c r="AK40" s="8">
        <f>Y40+AJ40</f>
        <v>217112289.40999997</v>
      </c>
      <c r="AL40" s="10"/>
      <c r="AM40" s="10"/>
      <c r="AN40" s="8">
        <f>AN50-AN30</f>
        <v>30116954.759999998</v>
      </c>
      <c r="AO40" s="8">
        <f>AO50-AO30</f>
        <v>0</v>
      </c>
      <c r="AP40" s="8">
        <f>AO40-AN40</f>
        <v>-30116954.759999998</v>
      </c>
      <c r="AQ40" s="10"/>
      <c r="AR40" s="10"/>
      <c r="AS40" s="8">
        <f>AS50-AS30</f>
        <v>25914760.759999998</v>
      </c>
      <c r="AT40" s="8">
        <f>AT50-AT30</f>
        <v>0</v>
      </c>
      <c r="AU40" s="8">
        <f>AT40-AS40</f>
        <v>-25914760.759999998</v>
      </c>
      <c r="AV40" s="8">
        <f>AN40+AS40</f>
        <v>56031715.519999996</v>
      </c>
      <c r="AW40" s="10">
        <f>AK40+AV40</f>
        <v>273144004.92999995</v>
      </c>
      <c r="AX40" s="10"/>
      <c r="AY40" s="10"/>
      <c r="AZ40" s="8">
        <f>AZ50-AZ30</f>
        <v>25761614.439999998</v>
      </c>
      <c r="BA40" s="8">
        <f>BA50-BA30</f>
        <v>0</v>
      </c>
      <c r="BB40" s="8">
        <f>BA40-AZ40</f>
        <v>-25761614.439999998</v>
      </c>
      <c r="BC40" s="10"/>
      <c r="BD40" s="10"/>
      <c r="BE40" s="8">
        <f>BE50-BE30</f>
        <v>27946086.770000003</v>
      </c>
      <c r="BF40" s="8">
        <f>BF50-BF30</f>
        <v>0</v>
      </c>
      <c r="BG40" s="8">
        <f>BF40-BE40</f>
        <v>-27946086.770000003</v>
      </c>
      <c r="BH40" s="8">
        <f>AZ40+BE40</f>
        <v>53707701.210000001</v>
      </c>
      <c r="BI40" s="10">
        <f>AW40+BH40</f>
        <v>326851706.13999993</v>
      </c>
      <c r="BJ40" s="10"/>
      <c r="BK40" s="10"/>
      <c r="BL40" s="8">
        <f>BL50-BL30</f>
        <v>28097678.310000002</v>
      </c>
      <c r="BM40" s="8"/>
      <c r="BN40" s="10"/>
      <c r="BO40" s="10"/>
      <c r="BP40" s="10"/>
      <c r="BQ40" s="8">
        <f>BQ50-BQ30</f>
        <v>45476282.939999998</v>
      </c>
      <c r="BR40" s="8"/>
      <c r="BS40" s="10"/>
      <c r="BT40" s="8">
        <f>SUM(M40+X40+AJ40+AV40+BH40+BL40+BQ40)</f>
        <v>400425667.38999993</v>
      </c>
      <c r="BU40" s="9" t="e">
        <f>#REF!+K40+Q40+V40+AC40+AH40+AO40+AT40+BA40+BF40+BM40+BR40</f>
        <v>#REF!</v>
      </c>
      <c r="BV40" s="11" t="e">
        <f>BT40-BU40</f>
        <v>#REF!</v>
      </c>
      <c r="IP40" s="3"/>
      <c r="IQ40" s="3"/>
      <c r="IR40" s="3"/>
      <c r="IS40" s="3"/>
      <c r="IT40" s="3"/>
    </row>
    <row r="41" spans="1:254" s="24" customFormat="1" ht="12.75" customHeight="1" x14ac:dyDescent="0.2">
      <c r="A41" s="14" t="s">
        <v>33</v>
      </c>
      <c r="B41" s="9">
        <f>B51-B31</f>
        <v>394459197.18000001</v>
      </c>
      <c r="C41" s="8"/>
      <c r="D41" s="8"/>
      <c r="E41" s="8">
        <f>E51-E31</f>
        <v>67924100.389999986</v>
      </c>
      <c r="F41" s="8">
        <f>F51-F31</f>
        <v>24023680.660000011</v>
      </c>
      <c r="G41" s="8">
        <f>C41-D41+E41-F41</f>
        <v>43900419.729999974</v>
      </c>
      <c r="H41" s="8"/>
      <c r="I41" s="8"/>
      <c r="J41" s="8">
        <f>J51-J31</f>
        <v>88536725.020000011</v>
      </c>
      <c r="K41" s="8">
        <f>K24-K31</f>
        <v>26094985.960000005</v>
      </c>
      <c r="L41" s="8">
        <f>SUM(H41-I41,J41-K41)</f>
        <v>62441739.060000002</v>
      </c>
      <c r="M41" s="8">
        <f>C41+F41+H41+K41</f>
        <v>50118666.62000002</v>
      </c>
      <c r="N41" s="8"/>
      <c r="O41" s="8"/>
      <c r="P41" s="8">
        <f>P51-P31</f>
        <v>93363167.979999989</v>
      </c>
      <c r="Q41" s="8">
        <f>Q24-Q31</f>
        <v>0</v>
      </c>
      <c r="R41" s="8">
        <f>SUM(N41-O41,P41-Q41)</f>
        <v>93363167.979999989</v>
      </c>
      <c r="S41" s="8"/>
      <c r="T41" s="8"/>
      <c r="U41" s="8">
        <f>U24-U31</f>
        <v>32147241.219999991</v>
      </c>
      <c r="V41" s="8">
        <f>V24-V31</f>
        <v>0</v>
      </c>
      <c r="W41" s="8">
        <f>SUM(S41-T41,U41-V41)</f>
        <v>32147241.219999991</v>
      </c>
      <c r="X41" s="8">
        <f>N41+P41+S41+U41</f>
        <v>125510409.19999999</v>
      </c>
      <c r="Y41" s="8">
        <f>M41+X41</f>
        <v>175629075.81999999</v>
      </c>
      <c r="Z41" s="8"/>
      <c r="AA41" s="8"/>
      <c r="AB41" s="8">
        <f>AB51-AB31</f>
        <v>31925160.700000003</v>
      </c>
      <c r="AC41" s="8">
        <f>AC51-AC31</f>
        <v>0</v>
      </c>
      <c r="AD41" s="8">
        <f>Z41-AA41+AB41-AC41</f>
        <v>31925160.700000003</v>
      </c>
      <c r="AE41" s="8"/>
      <c r="AF41" s="8"/>
      <c r="AG41" s="8">
        <f>AG51-AG31</f>
        <v>30622261.920000006</v>
      </c>
      <c r="AH41" s="8">
        <f>AH51-AH31</f>
        <v>0</v>
      </c>
      <c r="AI41" s="8">
        <f>AE41-AF41+AG41-AH41</f>
        <v>30622261.920000006</v>
      </c>
      <c r="AJ41" s="8">
        <f>Z41+AB41+AE41+AG41</f>
        <v>62547422.620000005</v>
      </c>
      <c r="AK41" s="8">
        <f>Y41+AJ41</f>
        <v>238176498.44</v>
      </c>
      <c r="AL41" s="8"/>
      <c r="AM41" s="8"/>
      <c r="AN41" s="8">
        <f>AN51-AN31</f>
        <v>32033242.410000004</v>
      </c>
      <c r="AO41" s="8">
        <f>AO51-AO31</f>
        <v>0</v>
      </c>
      <c r="AP41" s="8">
        <f>AL41-AM41+AN41-AO41</f>
        <v>32033242.410000004</v>
      </c>
      <c r="AQ41" s="8"/>
      <c r="AR41" s="8"/>
      <c r="AS41" s="8">
        <f>AS51-AS31</f>
        <v>33517667.65000001</v>
      </c>
      <c r="AT41" s="8">
        <f>AT51-AT31</f>
        <v>0</v>
      </c>
      <c r="AU41" s="8">
        <f>AQ41-AR41+AS41-AT41</f>
        <v>33517667.65000001</v>
      </c>
      <c r="AV41" s="8">
        <f>AL41+AN41+AQ41+AS41</f>
        <v>65550910.060000017</v>
      </c>
      <c r="AW41" s="9">
        <f>AK41+AV41</f>
        <v>303727408.5</v>
      </c>
      <c r="AX41" s="8"/>
      <c r="AY41" s="8"/>
      <c r="AZ41" s="8">
        <f>AZ51-AZ31</f>
        <v>30548103.640000004</v>
      </c>
      <c r="BA41" s="8">
        <f>BA24-BA31</f>
        <v>0</v>
      </c>
      <c r="BB41" s="8">
        <f>AX41-AY41+AZ41-BA41</f>
        <v>30548103.640000004</v>
      </c>
      <c r="BC41" s="8"/>
      <c r="BD41" s="8"/>
      <c r="BE41" s="8">
        <f>BE51-BE31</f>
        <v>30885366.199999992</v>
      </c>
      <c r="BF41" s="8">
        <f>BF24-BF31</f>
        <v>0</v>
      </c>
      <c r="BG41" s="8">
        <f>BC41-BD41+BE41-BF41</f>
        <v>30885366.199999992</v>
      </c>
      <c r="BH41" s="8">
        <f>AX41+AZ41+BC41+BE41</f>
        <v>61433469.839999996</v>
      </c>
      <c r="BI41" s="9">
        <f>AW41+BH41</f>
        <v>365160878.33999997</v>
      </c>
      <c r="BJ41" s="8"/>
      <c r="BK41" s="8"/>
      <c r="BL41" s="8">
        <f>BL51-BL31</f>
        <v>31957506.240000006</v>
      </c>
      <c r="BM41" s="8"/>
      <c r="BN41" s="8" t="e">
        <f>#REF!</f>
        <v>#REF!</v>
      </c>
      <c r="BO41" s="8"/>
      <c r="BP41" s="8"/>
      <c r="BQ41" s="8">
        <f>BQ51-BQ31</f>
        <v>54471659.519999988</v>
      </c>
      <c r="BR41" s="9"/>
      <c r="BS41" s="9" t="e">
        <f>#REF!</f>
        <v>#REF!</v>
      </c>
      <c r="BT41" s="8">
        <f>SUM(M41+X41+AJ41+AV41+BH41+BJ41+BL41+BO41+BQ41)</f>
        <v>451590044.09999996</v>
      </c>
      <c r="BU41" s="8" t="e">
        <f>#REF!-#REF!</f>
        <v>#REF!</v>
      </c>
      <c r="BV41" s="8" t="e">
        <f>#REF!-#REF!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14" t="s">
        <v>56</v>
      </c>
      <c r="B42" s="9">
        <f>B41-B40</f>
        <v>5763052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9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9"/>
      <c r="BJ42" s="8"/>
      <c r="BK42" s="8"/>
      <c r="BL42" s="8"/>
      <c r="BM42" s="8"/>
      <c r="BN42" s="8"/>
      <c r="BO42" s="8"/>
      <c r="BP42" s="8"/>
      <c r="BQ42" s="8"/>
      <c r="BR42" s="9"/>
      <c r="BS42" s="9"/>
      <c r="BT42" s="8"/>
      <c r="BU42" s="8"/>
      <c r="BV42" s="8"/>
      <c r="IP42" s="3"/>
      <c r="IQ42" s="3"/>
      <c r="IR42" s="3"/>
      <c r="IS42" s="3"/>
      <c r="IT42" s="3"/>
    </row>
    <row r="43" spans="1:254" s="24" customFormat="1" ht="17.25" customHeight="1" x14ac:dyDescent="0.2">
      <c r="A43" s="14" t="s">
        <v>53</v>
      </c>
      <c r="B43" s="9"/>
      <c r="C43" s="8"/>
      <c r="D43" s="8"/>
      <c r="E43" s="8">
        <f>E40-E41</f>
        <v>-15517646.959999993</v>
      </c>
      <c r="F43" s="8">
        <f>F40-F41</f>
        <v>17753081.729999989</v>
      </c>
      <c r="G43" s="8"/>
      <c r="H43" s="8"/>
      <c r="I43" s="8"/>
      <c r="J43" s="8">
        <f>J40-J41</f>
        <v>-39201329.26000002</v>
      </c>
      <c r="K43" s="8">
        <f>K40-K41</f>
        <v>2909141.1199999936</v>
      </c>
      <c r="L43" s="8"/>
      <c r="M43" s="8">
        <f>M40-M41</f>
        <v>20662222.849999979</v>
      </c>
      <c r="N43" s="8"/>
      <c r="O43" s="8"/>
      <c r="P43" s="8">
        <f>P40-P41</f>
        <v>-43385655.549999997</v>
      </c>
      <c r="Q43" s="8">
        <f>M44</f>
        <v>95438369.179999962</v>
      </c>
      <c r="R43" s="8"/>
      <c r="S43" s="8"/>
      <c r="T43" s="8"/>
      <c r="U43" s="8">
        <f>U40-U41</f>
        <v>4754015.9900000021</v>
      </c>
      <c r="V43" s="8">
        <f>Q44</f>
        <v>95438369.179999962</v>
      </c>
      <c r="W43" s="8"/>
      <c r="X43" s="8">
        <f>X40-X41</f>
        <v>-38631639.560000002</v>
      </c>
      <c r="Y43" s="8"/>
      <c r="Z43" s="8"/>
      <c r="AA43" s="8"/>
      <c r="AB43" s="8">
        <f>AB40-AB41</f>
        <v>1112845.5899999924</v>
      </c>
      <c r="AC43" s="8">
        <f>V44</f>
        <v>95438369.179999962</v>
      </c>
      <c r="AD43" s="8"/>
      <c r="AE43" s="8"/>
      <c r="AF43" s="8"/>
      <c r="AG43" s="8">
        <f>AG40-AG41</f>
        <v>-4207637.9100000039</v>
      </c>
      <c r="AH43" s="8">
        <f>AC44</f>
        <v>95438369.179999962</v>
      </c>
      <c r="AI43" s="8"/>
      <c r="AJ43" s="8">
        <f>AJ40-AJ41</f>
        <v>-3094792.3200000077</v>
      </c>
      <c r="AK43" s="8"/>
      <c r="AL43" s="8"/>
      <c r="AM43" s="8"/>
      <c r="AN43" s="8">
        <f>AN40-AN41</f>
        <v>-1916287.650000006</v>
      </c>
      <c r="AO43" s="8">
        <f>AH44</f>
        <v>95438369.179999962</v>
      </c>
      <c r="AP43" s="8"/>
      <c r="AQ43" s="8"/>
      <c r="AR43" s="8"/>
      <c r="AS43" s="8">
        <f>AS40-AS41</f>
        <v>-7602906.8900000118</v>
      </c>
      <c r="AT43" s="8">
        <f>AO44</f>
        <v>95438369.179999962</v>
      </c>
      <c r="AU43" s="8"/>
      <c r="AV43" s="8">
        <f>AV40-AV41</f>
        <v>-9519194.5400000215</v>
      </c>
      <c r="AW43" s="9"/>
      <c r="AX43" s="8"/>
      <c r="AY43" s="8"/>
      <c r="AZ43" s="8">
        <f>AZ40-AZ41</f>
        <v>-4786489.2000000067</v>
      </c>
      <c r="BA43" s="8">
        <f>BA52-BA33</f>
        <v>105911106.06</v>
      </c>
      <c r="BB43" s="8"/>
      <c r="BC43" s="8"/>
      <c r="BD43" s="8"/>
      <c r="BE43" s="8">
        <f>BE40-BE41</f>
        <v>-2939279.4299999885</v>
      </c>
      <c r="BF43" s="8">
        <f>BA44</f>
        <v>105911106.06</v>
      </c>
      <c r="BG43" s="8"/>
      <c r="BH43" s="8">
        <f>BH40-BH41</f>
        <v>-7725768.6299999952</v>
      </c>
      <c r="BI43" s="9"/>
      <c r="BJ43" s="8"/>
      <c r="BK43" s="8"/>
      <c r="BL43" s="8">
        <f>BL40-BL41</f>
        <v>-3859827.9300000034</v>
      </c>
      <c r="BM43" s="8"/>
      <c r="BN43" s="8"/>
      <c r="BO43" s="8"/>
      <c r="BP43" s="8"/>
      <c r="BQ43" s="8">
        <f>BQ40-BQ41</f>
        <v>-8995376.5799999908</v>
      </c>
      <c r="BR43" s="9"/>
      <c r="BS43" s="9"/>
      <c r="BT43" s="8">
        <f>BT40-BT41</f>
        <v>-51164376.710000038</v>
      </c>
      <c r="BU43" s="8"/>
      <c r="BV43" s="8"/>
      <c r="IP43" s="3"/>
      <c r="IQ43" s="3"/>
      <c r="IR43" s="3"/>
      <c r="IS43" s="3"/>
      <c r="IT43" s="3"/>
    </row>
    <row r="44" spans="1:254" s="24" customFormat="1" ht="12.75" customHeight="1" x14ac:dyDescent="0.2">
      <c r="A44" s="14" t="s">
        <v>54</v>
      </c>
      <c r="B44" s="9">
        <f>B40+B45-B41+B42</f>
        <v>74776146.329999983</v>
      </c>
      <c r="C44" s="8"/>
      <c r="D44" s="8"/>
      <c r="E44" s="8">
        <f>E43+B44</f>
        <v>59258499.36999999</v>
      </c>
      <c r="F44" s="8">
        <f>B44+F43</f>
        <v>92529228.059999973</v>
      </c>
      <c r="G44" s="8"/>
      <c r="H44" s="8"/>
      <c r="I44" s="8"/>
      <c r="J44" s="8">
        <f>J43+F44</f>
        <v>53327898.799999952</v>
      </c>
      <c r="K44" s="8">
        <f>K43+F44</f>
        <v>95438369.179999962</v>
      </c>
      <c r="L44" s="8"/>
      <c r="M44" s="8">
        <f>M43+B44</f>
        <v>95438369.179999962</v>
      </c>
      <c r="N44" s="10"/>
      <c r="O44" s="10"/>
      <c r="P44" s="8">
        <f>P43+J44</f>
        <v>9942243.2499999553</v>
      </c>
      <c r="Q44" s="8">
        <f>Q40+Q45-O41-Q41+Q43</f>
        <v>95438369.179999962</v>
      </c>
      <c r="R44" s="8"/>
      <c r="S44" s="8"/>
      <c r="T44" s="8"/>
      <c r="U44" s="8">
        <f>U43+P44</f>
        <v>14696259.239999957</v>
      </c>
      <c r="V44" s="8">
        <f>V40+V45-T41-V41+V43</f>
        <v>95438369.179999962</v>
      </c>
      <c r="W44" s="8"/>
      <c r="X44" s="8">
        <f>X43+M44</f>
        <v>56806729.61999996</v>
      </c>
      <c r="Y44" s="8">
        <f>Y40+Y45+Y41</f>
        <v>333288734.92999995</v>
      </c>
      <c r="Z44" s="8"/>
      <c r="AA44" s="8"/>
      <c r="AB44" s="8">
        <f>AB43+U44</f>
        <v>15809104.82999995</v>
      </c>
      <c r="AC44" s="8">
        <f>AC40+AC45-AA41-AC41+AC43</f>
        <v>95438369.179999962</v>
      </c>
      <c r="AD44" s="8"/>
      <c r="AE44" s="8"/>
      <c r="AF44" s="8"/>
      <c r="AG44" s="8">
        <f>AG43+AB44</f>
        <v>11601466.919999946</v>
      </c>
      <c r="AH44" s="8">
        <f>AH40+AH45-AF41-AH41+AH43</f>
        <v>95438369.179999962</v>
      </c>
      <c r="AI44" s="8"/>
      <c r="AJ44" s="8">
        <f>AJ43+X44</f>
        <v>53711937.299999952</v>
      </c>
      <c r="AK44" s="8" t="e">
        <f>AK40+AK45+AK41-#REF!-#REF!</f>
        <v>#REF!</v>
      </c>
      <c r="AL44" s="8"/>
      <c r="AM44" s="8"/>
      <c r="AN44" s="8">
        <f>AN43+AG44</f>
        <v>9685179.2699999399</v>
      </c>
      <c r="AO44" s="8">
        <f>AO40+AO45-AM41-AO41+AO43</f>
        <v>95438369.179999962</v>
      </c>
      <c r="AP44" s="8"/>
      <c r="AQ44" s="8"/>
      <c r="AR44" s="8"/>
      <c r="AS44" s="8">
        <f>AS43+AN44</f>
        <v>2082272.3799999282</v>
      </c>
      <c r="AT44" s="8">
        <f>AT40+AT45-AR41-AT41+AT43</f>
        <v>95438369.179999962</v>
      </c>
      <c r="AU44" s="8"/>
      <c r="AV44" s="8">
        <f>AV43+AJ44</f>
        <v>44192742.759999931</v>
      </c>
      <c r="AW44" s="8" t="e">
        <f>AW40+AW45+AW41-#REF!-#REF!</f>
        <v>#REF!</v>
      </c>
      <c r="AX44" s="8"/>
      <c r="AY44" s="8"/>
      <c r="AZ44" s="8">
        <f>AZ43+AV44</f>
        <v>39406253.559999928</v>
      </c>
      <c r="BA44" s="8">
        <f>BA40+BA45-AY41-BA41+BA43</f>
        <v>105911106.06</v>
      </c>
      <c r="BB44" s="8"/>
      <c r="BC44" s="8"/>
      <c r="BD44" s="8"/>
      <c r="BE44" s="8">
        <f>BE43+AZ44</f>
        <v>36466974.129999936</v>
      </c>
      <c r="BF44" s="8">
        <f>BF40+BF45-BD41-BF41+BF43</f>
        <v>105911106.06</v>
      </c>
      <c r="BG44" s="8"/>
      <c r="BH44" s="8">
        <f>BH43+AV44</f>
        <v>36466974.129999936</v>
      </c>
      <c r="BI44" s="8" t="e">
        <f>BI40+BI45+BI41-#REF!-#REF!</f>
        <v>#REF!</v>
      </c>
      <c r="BJ44" s="8"/>
      <c r="BK44" s="8"/>
      <c r="BL44" s="8">
        <f>BL43+BH44</f>
        <v>32607146.199999932</v>
      </c>
      <c r="BM44" s="8">
        <f>BM40-SUM(BM41:BM41)</f>
        <v>0</v>
      </c>
      <c r="BN44" s="8" t="e">
        <f>BN40-SUM(BN41:BN41)</f>
        <v>#REF!</v>
      </c>
      <c r="BO44" s="8"/>
      <c r="BP44" s="8"/>
      <c r="BQ44" s="8">
        <f>BQ43+BL44</f>
        <v>23611769.619999941</v>
      </c>
      <c r="BR44" s="8">
        <f>BR40-SUM(BR41:BR41)</f>
        <v>0</v>
      </c>
      <c r="BS44" s="8" t="e">
        <f>BS40-SUM(BS41:BS41)</f>
        <v>#REF!</v>
      </c>
      <c r="BT44" s="8">
        <f>BT43+BT45</f>
        <v>23611769.61999996</v>
      </c>
      <c r="BU44" s="8" t="e">
        <f>BU40-SUM(BV41:BV41)</f>
        <v>#REF!</v>
      </c>
      <c r="BV44" s="8" t="e">
        <f>BV40-SUM(#REF!)</f>
        <v>#REF!</v>
      </c>
      <c r="IP44" s="3"/>
      <c r="IQ44" s="3"/>
      <c r="IR44" s="3"/>
      <c r="IS44" s="3"/>
      <c r="IT44" s="3"/>
    </row>
    <row r="45" spans="1:254" s="24" customFormat="1" ht="12.75" customHeight="1" x14ac:dyDescent="0.2">
      <c r="A45" s="48" t="s">
        <v>35</v>
      </c>
      <c r="B45" s="45">
        <f>B54-B35</f>
        <v>74776146.329999998</v>
      </c>
      <c r="C45" s="43"/>
      <c r="D45" s="43"/>
      <c r="E45" s="43">
        <f>B45</f>
        <v>74776146.329999998</v>
      </c>
      <c r="F45" s="43">
        <f>F54-F35</f>
        <v>26377020.07</v>
      </c>
      <c r="G45" s="43">
        <f>E45-F45</f>
        <v>48399126.259999998</v>
      </c>
      <c r="H45" s="43"/>
      <c r="I45" s="43"/>
      <c r="J45" s="43">
        <f>G45</f>
        <v>48399126.259999998</v>
      </c>
      <c r="K45" s="43">
        <f>K54-K35</f>
        <v>12098305.49</v>
      </c>
      <c r="L45" s="43">
        <f>J45-K45</f>
        <v>36300820.769999996</v>
      </c>
      <c r="M45" s="43">
        <f>F45+K45</f>
        <v>38475325.560000002</v>
      </c>
      <c r="N45" s="49"/>
      <c r="O45" s="49"/>
      <c r="P45" s="43"/>
      <c r="Q45" s="43">
        <f>Q54-Q35</f>
        <v>0</v>
      </c>
      <c r="R45" s="43">
        <f>P45-Q45</f>
        <v>0</v>
      </c>
      <c r="S45" s="43"/>
      <c r="T45" s="43"/>
      <c r="U45" s="43">
        <f>R45</f>
        <v>0</v>
      </c>
      <c r="V45" s="43">
        <f>V54-V35</f>
        <v>0</v>
      </c>
      <c r="W45" s="43">
        <f>R45-V45</f>
        <v>0</v>
      </c>
      <c r="X45" s="43">
        <f>Q45+V45</f>
        <v>0</v>
      </c>
      <c r="Y45" s="45">
        <f>X45</f>
        <v>0</v>
      </c>
      <c r="Z45" s="43"/>
      <c r="AA45" s="43"/>
      <c r="AB45" s="43">
        <f>W45</f>
        <v>0</v>
      </c>
      <c r="AC45" s="43">
        <f>AC54-AC35</f>
        <v>0</v>
      </c>
      <c r="AD45" s="43">
        <f>W45-AC45</f>
        <v>0</v>
      </c>
      <c r="AE45" s="43"/>
      <c r="AF45" s="43"/>
      <c r="AG45" s="43">
        <f>AD45</f>
        <v>0</v>
      </c>
      <c r="AH45" s="43">
        <f>AH54-AH35</f>
        <v>0</v>
      </c>
      <c r="AI45" s="43">
        <f>AG45-AH45</f>
        <v>0</v>
      </c>
      <c r="AJ45" s="43">
        <f>AC45+AH45</f>
        <v>0</v>
      </c>
      <c r="AK45" s="43">
        <f>Y45+AJ45</f>
        <v>0</v>
      </c>
      <c r="AL45" s="43"/>
      <c r="AM45" s="43"/>
      <c r="AN45" s="43">
        <f>AI45</f>
        <v>0</v>
      </c>
      <c r="AO45" s="43">
        <f>AO54-AO35</f>
        <v>0</v>
      </c>
      <c r="AP45" s="43">
        <f>AI45-AO45</f>
        <v>0</v>
      </c>
      <c r="AQ45" s="43"/>
      <c r="AR45" s="43"/>
      <c r="AS45" s="43">
        <f>AN45</f>
        <v>0</v>
      </c>
      <c r="AT45" s="43">
        <f>AT54</f>
        <v>0</v>
      </c>
      <c r="AU45" s="43">
        <f>AS45-AT45</f>
        <v>0</v>
      </c>
      <c r="AV45" s="43">
        <f>AO45+AT45</f>
        <v>0</v>
      </c>
      <c r="AW45" s="43">
        <f>AK45+AV45</f>
        <v>0</v>
      </c>
      <c r="AX45" s="43"/>
      <c r="AY45" s="43"/>
      <c r="AZ45" s="43">
        <f>AZ54-AZ35</f>
        <v>-15383063.300000001</v>
      </c>
      <c r="BA45" s="43">
        <f>BA54</f>
        <v>0</v>
      </c>
      <c r="BB45" s="43">
        <f>AU45-BA45</f>
        <v>0</v>
      </c>
      <c r="BC45" s="43"/>
      <c r="BD45" s="43"/>
      <c r="BE45" s="43">
        <f>BB45</f>
        <v>0</v>
      </c>
      <c r="BF45" s="43">
        <f>BF54</f>
        <v>0</v>
      </c>
      <c r="BG45" s="43">
        <f>BE45-BF45</f>
        <v>0</v>
      </c>
      <c r="BH45" s="43">
        <f>BA45+BF45</f>
        <v>0</v>
      </c>
      <c r="BI45" s="43">
        <f>AW45+BH45</f>
        <v>0</v>
      </c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>
        <f>B45</f>
        <v>74776146.329999998</v>
      </c>
      <c r="BU45" s="9"/>
      <c r="BV45" s="11"/>
      <c r="IP45" s="3"/>
      <c r="IQ45" s="3"/>
      <c r="IR45" s="3"/>
      <c r="IS45" s="3"/>
      <c r="IT45" s="3"/>
    </row>
    <row r="46" spans="1:254" ht="12" customHeight="1" x14ac:dyDescent="0.2">
      <c r="G46" s="24"/>
      <c r="H46" s="20"/>
      <c r="K46" s="24"/>
      <c r="O46" s="19"/>
      <c r="P46" s="24"/>
      <c r="Q46" s="16"/>
      <c r="R46" s="20"/>
      <c r="S46" s="20"/>
      <c r="V46" s="24"/>
      <c r="W46" s="24"/>
      <c r="X46" s="24"/>
      <c r="AB46" s="16"/>
      <c r="AD46" s="20"/>
      <c r="AE46" s="20"/>
      <c r="AH46" s="24"/>
      <c r="AJ46" s="20"/>
      <c r="AL46" s="20"/>
      <c r="AN46" s="16"/>
      <c r="AO46" s="24"/>
      <c r="AT46" s="24"/>
      <c r="AV46" s="20"/>
      <c r="AX46" s="20"/>
      <c r="AZ46" s="16"/>
      <c r="BA46" s="24"/>
      <c r="BB46" s="24"/>
      <c r="BC46" s="24"/>
      <c r="BG46" s="20"/>
      <c r="BH46" s="20"/>
      <c r="BJ46" s="20"/>
      <c r="BL46" s="16"/>
      <c r="BM46" s="24"/>
      <c r="BN46" s="24"/>
      <c r="BO46" s="24"/>
      <c r="BT46" s="16"/>
      <c r="BV46" s="19"/>
      <c r="BW46" s="2"/>
      <c r="IP46" s="3"/>
      <c r="IQ46" s="3"/>
      <c r="IR46" s="3"/>
      <c r="IS46" s="3"/>
    </row>
    <row r="47" spans="1:254" s="2" customFormat="1" ht="12.75" customHeight="1" x14ac:dyDescent="0.2">
      <c r="A47" s="57" t="s">
        <v>36</v>
      </c>
      <c r="B47" s="57"/>
      <c r="C47" s="53" t="s">
        <v>2</v>
      </c>
      <c r="D47" s="53"/>
      <c r="E47" s="53"/>
      <c r="F47" s="53"/>
      <c r="G47" s="34"/>
      <c r="H47" s="53" t="s">
        <v>3</v>
      </c>
      <c r="I47" s="53"/>
      <c r="J47" s="53"/>
      <c r="K47" s="53"/>
      <c r="L47" s="53"/>
      <c r="M47" s="56" t="s">
        <v>4</v>
      </c>
      <c r="N47" s="53" t="s">
        <v>5</v>
      </c>
      <c r="O47" s="53"/>
      <c r="P47" s="53"/>
      <c r="Q47" s="53"/>
      <c r="R47" s="53"/>
      <c r="S47" s="53" t="s">
        <v>6</v>
      </c>
      <c r="T47" s="53"/>
      <c r="U47" s="53"/>
      <c r="V47" s="53"/>
      <c r="W47" s="53"/>
      <c r="X47" s="56" t="s">
        <v>7</v>
      </c>
      <c r="Y47" s="56" t="s">
        <v>8</v>
      </c>
      <c r="Z47" s="53" t="s">
        <v>9</v>
      </c>
      <c r="AA47" s="53"/>
      <c r="AB47" s="53"/>
      <c r="AC47" s="53"/>
      <c r="AD47" s="53"/>
      <c r="AE47" s="53" t="s">
        <v>10</v>
      </c>
      <c r="AF47" s="53"/>
      <c r="AG47" s="53"/>
      <c r="AH47" s="53"/>
      <c r="AI47" s="53"/>
      <c r="AJ47" s="56" t="s">
        <v>11</v>
      </c>
      <c r="AK47" s="56" t="s">
        <v>8</v>
      </c>
      <c r="AL47" s="53" t="s">
        <v>12</v>
      </c>
      <c r="AM47" s="53"/>
      <c r="AN47" s="53"/>
      <c r="AO47" s="53"/>
      <c r="AP47" s="53"/>
      <c r="AQ47" s="53" t="s">
        <v>13</v>
      </c>
      <c r="AR47" s="53"/>
      <c r="AS47" s="53"/>
      <c r="AT47" s="53"/>
      <c r="AU47" s="53"/>
      <c r="AV47" s="56" t="s">
        <v>14</v>
      </c>
      <c r="AW47" s="56" t="s">
        <v>8</v>
      </c>
      <c r="AX47" s="53" t="s">
        <v>15</v>
      </c>
      <c r="AY47" s="53"/>
      <c r="AZ47" s="53"/>
      <c r="BA47" s="53"/>
      <c r="BB47" s="53"/>
      <c r="BC47" s="53" t="s">
        <v>16</v>
      </c>
      <c r="BD47" s="53"/>
      <c r="BE47" s="53"/>
      <c r="BF47" s="53"/>
      <c r="BG47" s="53"/>
      <c r="BH47" s="56" t="s">
        <v>17</v>
      </c>
      <c r="BI47" s="56" t="s">
        <v>8</v>
      </c>
      <c r="BJ47" s="53" t="s">
        <v>18</v>
      </c>
      <c r="BK47" s="53"/>
      <c r="BL47" s="53"/>
      <c r="BM47" s="53"/>
      <c r="BN47" s="53"/>
      <c r="BO47" s="53" t="s">
        <v>19</v>
      </c>
      <c r="BP47" s="53"/>
      <c r="BQ47" s="53"/>
      <c r="BR47" s="53"/>
      <c r="BS47" s="53"/>
      <c r="BT47" s="36" t="s">
        <v>20</v>
      </c>
      <c r="BU47" s="25"/>
      <c r="BV47" s="35"/>
      <c r="IP47" s="3"/>
      <c r="IQ47" s="3"/>
      <c r="IR47" s="3"/>
      <c r="IS47" s="3"/>
      <c r="IT47" s="3"/>
    </row>
    <row r="48" spans="1:254" s="2" customFormat="1" ht="12.75" customHeight="1" x14ac:dyDescent="0.2">
      <c r="A48" s="57"/>
      <c r="B48" s="57"/>
      <c r="C48" s="53" t="s">
        <v>21</v>
      </c>
      <c r="D48" s="53"/>
      <c r="E48" s="53" t="s">
        <v>22</v>
      </c>
      <c r="F48" s="53"/>
      <c r="G48" s="53" t="s">
        <v>23</v>
      </c>
      <c r="H48" s="53" t="s">
        <v>21</v>
      </c>
      <c r="I48" s="53"/>
      <c r="J48" s="53" t="s">
        <v>22</v>
      </c>
      <c r="K48" s="53"/>
      <c r="L48" s="53" t="s">
        <v>23</v>
      </c>
      <c r="M48" s="56"/>
      <c r="N48" s="53" t="s">
        <v>21</v>
      </c>
      <c r="O48" s="53"/>
      <c r="P48" s="53" t="s">
        <v>22</v>
      </c>
      <c r="Q48" s="53"/>
      <c r="R48" s="53" t="s">
        <v>23</v>
      </c>
      <c r="S48" s="53" t="s">
        <v>21</v>
      </c>
      <c r="T48" s="53"/>
      <c r="U48" s="53" t="s">
        <v>22</v>
      </c>
      <c r="V48" s="53"/>
      <c r="W48" s="53" t="s">
        <v>23</v>
      </c>
      <c r="X48" s="56"/>
      <c r="Y48" s="56"/>
      <c r="Z48" s="53" t="s">
        <v>21</v>
      </c>
      <c r="AA48" s="53"/>
      <c r="AB48" s="53" t="s">
        <v>22</v>
      </c>
      <c r="AC48" s="53"/>
      <c r="AD48" s="53" t="s">
        <v>23</v>
      </c>
      <c r="AE48" s="53" t="s">
        <v>21</v>
      </c>
      <c r="AF48" s="53"/>
      <c r="AG48" s="53" t="s">
        <v>22</v>
      </c>
      <c r="AH48" s="53"/>
      <c r="AI48" s="53" t="s">
        <v>23</v>
      </c>
      <c r="AJ48" s="56"/>
      <c r="AK48" s="56"/>
      <c r="AL48" s="53" t="s">
        <v>21</v>
      </c>
      <c r="AM48" s="53"/>
      <c r="AN48" s="53" t="s">
        <v>22</v>
      </c>
      <c r="AO48" s="53"/>
      <c r="AP48" s="53" t="s">
        <v>23</v>
      </c>
      <c r="AQ48" s="53" t="s">
        <v>21</v>
      </c>
      <c r="AR48" s="53"/>
      <c r="AS48" s="53" t="s">
        <v>22</v>
      </c>
      <c r="AT48" s="53"/>
      <c r="AU48" s="53" t="s">
        <v>23</v>
      </c>
      <c r="AV48" s="56"/>
      <c r="AW48" s="56"/>
      <c r="AX48" s="53" t="s">
        <v>21</v>
      </c>
      <c r="AY48" s="53"/>
      <c r="AZ48" s="53" t="s">
        <v>22</v>
      </c>
      <c r="BA48" s="53"/>
      <c r="BB48" s="53" t="s">
        <v>23</v>
      </c>
      <c r="BC48" s="53" t="s">
        <v>21</v>
      </c>
      <c r="BD48" s="53"/>
      <c r="BE48" s="53" t="s">
        <v>22</v>
      </c>
      <c r="BF48" s="53"/>
      <c r="BG48" s="53" t="s">
        <v>23</v>
      </c>
      <c r="BH48" s="56"/>
      <c r="BI48" s="56"/>
      <c r="BJ48" s="53" t="s">
        <v>21</v>
      </c>
      <c r="BK48" s="53"/>
      <c r="BL48" s="53" t="s">
        <v>22</v>
      </c>
      <c r="BM48" s="53"/>
      <c r="BN48" s="53"/>
      <c r="BO48" s="53" t="s">
        <v>21</v>
      </c>
      <c r="BP48" s="53"/>
      <c r="BQ48" s="53" t="s">
        <v>22</v>
      </c>
      <c r="BR48" s="53"/>
      <c r="BS48" s="53"/>
      <c r="BT48" s="53" t="s">
        <v>41</v>
      </c>
      <c r="BU48" s="25"/>
      <c r="BV48" s="35"/>
      <c r="IP48" s="3"/>
      <c r="IQ48" s="3"/>
      <c r="IR48" s="3"/>
      <c r="IS48" s="3"/>
      <c r="IT48" s="3"/>
    </row>
    <row r="49" spans="1:254" s="2" customFormat="1" ht="17.100000000000001" customHeight="1" x14ac:dyDescent="0.2">
      <c r="A49" s="57"/>
      <c r="B49" s="57"/>
      <c r="C49" s="34" t="s">
        <v>24</v>
      </c>
      <c r="D49" s="34" t="s">
        <v>25</v>
      </c>
      <c r="E49" s="34" t="s">
        <v>24</v>
      </c>
      <c r="F49" s="34" t="s">
        <v>25</v>
      </c>
      <c r="G49" s="53"/>
      <c r="H49" s="34" t="s">
        <v>24</v>
      </c>
      <c r="I49" s="34" t="s">
        <v>25</v>
      </c>
      <c r="J49" s="34" t="s">
        <v>24</v>
      </c>
      <c r="K49" s="34" t="s">
        <v>25</v>
      </c>
      <c r="L49" s="53"/>
      <c r="M49" s="56" t="s">
        <v>8</v>
      </c>
      <c r="N49" s="34" t="s">
        <v>24</v>
      </c>
      <c r="O49" s="34" t="s">
        <v>25</v>
      </c>
      <c r="P49" s="34" t="s">
        <v>24</v>
      </c>
      <c r="Q49" s="34" t="s">
        <v>25</v>
      </c>
      <c r="R49" s="53"/>
      <c r="S49" s="34" t="s">
        <v>24</v>
      </c>
      <c r="T49" s="34" t="s">
        <v>25</v>
      </c>
      <c r="U49" s="34" t="s">
        <v>24</v>
      </c>
      <c r="V49" s="34" t="s">
        <v>25</v>
      </c>
      <c r="W49" s="53"/>
      <c r="X49" s="56"/>
      <c r="Y49" s="56"/>
      <c r="Z49" s="34" t="s">
        <v>24</v>
      </c>
      <c r="AA49" s="34" t="s">
        <v>25</v>
      </c>
      <c r="AB49" s="34" t="s">
        <v>24</v>
      </c>
      <c r="AC49" s="34" t="s">
        <v>25</v>
      </c>
      <c r="AD49" s="53"/>
      <c r="AE49" s="34" t="s">
        <v>24</v>
      </c>
      <c r="AF49" s="34" t="s">
        <v>25</v>
      </c>
      <c r="AG49" s="34" t="s">
        <v>24</v>
      </c>
      <c r="AH49" s="34" t="s">
        <v>25</v>
      </c>
      <c r="AI49" s="53"/>
      <c r="AJ49" s="56"/>
      <c r="AK49" s="56"/>
      <c r="AL49" s="34" t="s">
        <v>24</v>
      </c>
      <c r="AM49" s="34" t="s">
        <v>25</v>
      </c>
      <c r="AN49" s="34" t="s">
        <v>24</v>
      </c>
      <c r="AO49" s="34" t="s">
        <v>25</v>
      </c>
      <c r="AP49" s="53"/>
      <c r="AQ49" s="34" t="s">
        <v>24</v>
      </c>
      <c r="AR49" s="34" t="s">
        <v>25</v>
      </c>
      <c r="AS49" s="34" t="s">
        <v>24</v>
      </c>
      <c r="AT49" s="34" t="s">
        <v>25</v>
      </c>
      <c r="AU49" s="53"/>
      <c r="AV49" s="56"/>
      <c r="AW49" s="56"/>
      <c r="AX49" s="34" t="s">
        <v>24</v>
      </c>
      <c r="AY49" s="34" t="s">
        <v>25</v>
      </c>
      <c r="AZ49" s="34" t="s">
        <v>24</v>
      </c>
      <c r="BA49" s="34" t="s">
        <v>25</v>
      </c>
      <c r="BB49" s="53"/>
      <c r="BC49" s="34" t="s">
        <v>24</v>
      </c>
      <c r="BD49" s="34" t="s">
        <v>25</v>
      </c>
      <c r="BE49" s="34" t="s">
        <v>24</v>
      </c>
      <c r="BF49" s="34" t="s">
        <v>25</v>
      </c>
      <c r="BG49" s="53"/>
      <c r="BH49" s="56"/>
      <c r="BI49" s="56"/>
      <c r="BJ49" s="34" t="s">
        <v>24</v>
      </c>
      <c r="BK49" s="34" t="s">
        <v>25</v>
      </c>
      <c r="BL49" s="34" t="s">
        <v>24</v>
      </c>
      <c r="BM49" s="34" t="s">
        <v>25</v>
      </c>
      <c r="BN49" s="4" t="s">
        <v>23</v>
      </c>
      <c r="BO49" s="34" t="s">
        <v>24</v>
      </c>
      <c r="BP49" s="34" t="s">
        <v>25</v>
      </c>
      <c r="BQ49" s="34" t="s">
        <v>24</v>
      </c>
      <c r="BR49" s="34" t="s">
        <v>25</v>
      </c>
      <c r="BS49" s="4" t="s">
        <v>23</v>
      </c>
      <c r="BT49" s="53"/>
      <c r="BU49" s="25" t="s">
        <v>25</v>
      </c>
      <c r="BV49" s="22" t="s">
        <v>23</v>
      </c>
      <c r="IP49" s="3"/>
      <c r="IQ49" s="3"/>
      <c r="IR49" s="3"/>
      <c r="IS49" s="3"/>
      <c r="IT49" s="3"/>
    </row>
    <row r="50" spans="1:254" s="24" customFormat="1" ht="17.100000000000001" customHeight="1" x14ac:dyDescent="0.2">
      <c r="A50" s="14" t="s">
        <v>32</v>
      </c>
      <c r="B50" s="9">
        <v>683522000</v>
      </c>
      <c r="C50" s="9" t="s">
        <v>27</v>
      </c>
      <c r="D50" s="9"/>
      <c r="E50" s="8">
        <f>74339168.82+10132249.85</f>
        <v>84471418.669999987</v>
      </c>
      <c r="F50" s="8">
        <v>86815208.359999999</v>
      </c>
      <c r="G50" s="8">
        <f>F50-E50</f>
        <v>2343789.6900000125</v>
      </c>
      <c r="H50" s="8" t="s">
        <v>27</v>
      </c>
      <c r="I50" s="8"/>
      <c r="J50" s="8">
        <f>65255161.89-G50+1597272.36</f>
        <v>64508644.559999987</v>
      </c>
      <c r="K50" s="8">
        <v>52522573.579999998</v>
      </c>
      <c r="L50" s="8">
        <f>K50-J50</f>
        <v>-11986070.979999989</v>
      </c>
      <c r="M50" s="9">
        <f>F50+K50</f>
        <v>139337781.94</v>
      </c>
      <c r="N50" s="11" t="s">
        <v>27</v>
      </c>
      <c r="O50" s="11"/>
      <c r="P50" s="8">
        <f>52132906.52-L50</f>
        <v>64118977.499999993</v>
      </c>
      <c r="Q50" s="8"/>
      <c r="R50" s="8">
        <f>Q50-P50</f>
        <v>-64118977.499999993</v>
      </c>
      <c r="S50" s="8" t="s">
        <v>27</v>
      </c>
      <c r="T50" s="8"/>
      <c r="U50" s="8">
        <v>64890844.549999997</v>
      </c>
      <c r="V50" s="8"/>
      <c r="W50" s="8">
        <f>V50-U50</f>
        <v>-64890844.549999997</v>
      </c>
      <c r="X50" s="9">
        <f>P50+U50</f>
        <v>129009822.04999998</v>
      </c>
      <c r="Y50" s="8">
        <f>M50+X50</f>
        <v>268347603.98999998</v>
      </c>
      <c r="Z50" s="8" t="s">
        <v>27</v>
      </c>
      <c r="AA50" s="8"/>
      <c r="AB50" s="8">
        <v>58097319.479999997</v>
      </c>
      <c r="AC50" s="8"/>
      <c r="AD50" s="8">
        <f>AC50-AB50</f>
        <v>-58097319.479999997</v>
      </c>
      <c r="AE50" s="10" t="s">
        <v>27</v>
      </c>
      <c r="AF50" s="10"/>
      <c r="AG50" s="8">
        <v>46450104.57</v>
      </c>
      <c r="AH50" s="8"/>
      <c r="AI50" s="8">
        <f>AH50-AG50</f>
        <v>-46450104.57</v>
      </c>
      <c r="AJ50" s="9">
        <f>AB50+AG50</f>
        <v>104547424.05</v>
      </c>
      <c r="AK50" s="8">
        <f>Y50+AJ50</f>
        <v>372895028.03999996</v>
      </c>
      <c r="AL50" s="10" t="s">
        <v>27</v>
      </c>
      <c r="AM50" s="10"/>
      <c r="AN50" s="8">
        <v>52960651.609999999</v>
      </c>
      <c r="AO50" s="8"/>
      <c r="AP50" s="8">
        <f>AO50-AN50</f>
        <v>-52960651.609999999</v>
      </c>
      <c r="AQ50" s="8" t="s">
        <v>27</v>
      </c>
      <c r="AR50" s="8"/>
      <c r="AS50" s="8">
        <v>45571095.289999999</v>
      </c>
      <c r="AT50" s="8"/>
      <c r="AU50" s="8">
        <f>AT50-AS50</f>
        <v>-45571095.289999999</v>
      </c>
      <c r="AV50" s="9">
        <f>AN50+AS50</f>
        <v>98531746.900000006</v>
      </c>
      <c r="AW50" s="10">
        <f>AK50+AV50</f>
        <v>471426774.93999994</v>
      </c>
      <c r="AX50" s="10"/>
      <c r="AY50" s="10"/>
      <c r="AZ50" s="8">
        <v>45301787.649999999</v>
      </c>
      <c r="BA50" s="8"/>
      <c r="BB50" s="8">
        <f>BA50-AZ50</f>
        <v>-45301787.649999999</v>
      </c>
      <c r="BC50" s="8" t="s">
        <v>27</v>
      </c>
      <c r="BD50" s="8"/>
      <c r="BE50" s="8">
        <v>49143181.240000002</v>
      </c>
      <c r="BF50" s="8"/>
      <c r="BG50" s="8">
        <f>BF50-BE50</f>
        <v>-49143181.240000002</v>
      </c>
      <c r="BH50" s="9">
        <f>AZ50+BE50</f>
        <v>94444968.890000001</v>
      </c>
      <c r="BI50" s="10">
        <f>AW50+BH50</f>
        <v>565871743.82999992</v>
      </c>
      <c r="BJ50" s="10" t="s">
        <v>27</v>
      </c>
      <c r="BK50" s="10"/>
      <c r="BL50" s="8">
        <v>49409754.890000001</v>
      </c>
      <c r="BM50" s="8"/>
      <c r="BN50" s="10">
        <f>BL50</f>
        <v>49409754.890000001</v>
      </c>
      <c r="BO50" s="10"/>
      <c r="BP50" s="10" t="s">
        <v>27</v>
      </c>
      <c r="BQ50" s="8">
        <v>79970023.489999995</v>
      </c>
      <c r="BR50" s="8"/>
      <c r="BS50" s="10">
        <f>BQ50</f>
        <v>79970023.489999995</v>
      </c>
      <c r="BT50" s="9">
        <f>SUM(M50+X50+AJ50+AV50+BH50+BL50+BQ50)</f>
        <v>695251522.20999992</v>
      </c>
      <c r="BU50" s="26">
        <f>F50+K50+Q50+V50+AC50+AH50+AO50+AT50+BA50+BF50+BM50+BR50</f>
        <v>139337781.94</v>
      </c>
      <c r="BV50" s="23">
        <f>BT50-BU50</f>
        <v>555913740.26999998</v>
      </c>
      <c r="IP50" s="3"/>
      <c r="IQ50" s="3"/>
      <c r="IR50" s="3"/>
      <c r="IS50" s="3"/>
      <c r="IT50" s="3"/>
    </row>
    <row r="51" spans="1:254" s="24" customFormat="1" ht="17.100000000000001" customHeight="1" x14ac:dyDescent="0.2">
      <c r="A51" s="14" t="s">
        <v>33</v>
      </c>
      <c r="B51" s="27">
        <f>B24</f>
        <v>683522000</v>
      </c>
      <c r="C51" s="8">
        <f>C24</f>
        <v>4713000</v>
      </c>
      <c r="D51" s="8">
        <f>D24</f>
        <v>4704223.08</v>
      </c>
      <c r="E51" s="8">
        <f>E24</f>
        <v>84744339.849999994</v>
      </c>
      <c r="F51" s="8">
        <f>F24</f>
        <v>39407197.74000001</v>
      </c>
      <c r="G51" s="8">
        <f>C51-D51+E51-F51</f>
        <v>45345919.029999986</v>
      </c>
      <c r="H51" s="8">
        <f>H24</f>
        <v>3830776.92</v>
      </c>
      <c r="I51" s="8">
        <f>I24</f>
        <v>3541016.2600000002</v>
      </c>
      <c r="J51" s="8">
        <f>J24</f>
        <v>108172191.65000001</v>
      </c>
      <c r="K51" s="8">
        <f>K24</f>
        <v>47711520.700000003</v>
      </c>
      <c r="L51" s="8">
        <f>H51-I51+J51-K51</f>
        <v>60750431.609999999</v>
      </c>
      <c r="M51" s="9">
        <f>D51+F51+I51+K51</f>
        <v>95363957.780000001</v>
      </c>
      <c r="N51" s="8">
        <f>N24</f>
        <v>4124760.6599999997</v>
      </c>
      <c r="O51" s="8">
        <f t="shared" ref="O51" si="27">O24</f>
        <v>0</v>
      </c>
      <c r="P51" s="8">
        <f>P24</f>
        <v>111517741.44999999</v>
      </c>
      <c r="Q51" s="8">
        <f>Q24</f>
        <v>0</v>
      </c>
      <c r="R51" s="8">
        <f>SUM(N51-O51,P51-Q51)</f>
        <v>115642502.10999998</v>
      </c>
      <c r="S51" s="8">
        <f>S24</f>
        <v>3835000</v>
      </c>
      <c r="T51" s="8">
        <f>T24</f>
        <v>0</v>
      </c>
      <c r="U51" s="8">
        <f>U31+U41</f>
        <v>52588317.999999993</v>
      </c>
      <c r="V51" s="8">
        <f>V24</f>
        <v>0</v>
      </c>
      <c r="W51" s="8">
        <f>SUM(S51-T51,U51-V51)</f>
        <v>56423317.999999993</v>
      </c>
      <c r="X51" s="9">
        <f>N51+P51+S51+U51</f>
        <v>172065820.10999998</v>
      </c>
      <c r="Y51" s="8">
        <f>M51+X51</f>
        <v>267429777.88999999</v>
      </c>
      <c r="Z51" s="8">
        <f>Z24</f>
        <v>3235000</v>
      </c>
      <c r="AA51" s="8">
        <f>AA24</f>
        <v>0</v>
      </c>
      <c r="AB51" s="8">
        <f>AB24-AB25</f>
        <v>52225025.850000001</v>
      </c>
      <c r="AC51" s="8">
        <f>AC24</f>
        <v>0</v>
      </c>
      <c r="AD51" s="8">
        <f>Z51-AA51+AB51-AC51</f>
        <v>55460025.850000001</v>
      </c>
      <c r="AE51" s="8">
        <f>AE24</f>
        <v>3235000</v>
      </c>
      <c r="AF51" s="8">
        <f>AF24</f>
        <v>0</v>
      </c>
      <c r="AG51" s="8">
        <f>AG24</f>
        <v>50093668.620000005</v>
      </c>
      <c r="AH51" s="8">
        <f>AH24</f>
        <v>0</v>
      </c>
      <c r="AI51" s="8">
        <f>AE51-AF51+AG51-AH51</f>
        <v>53328668.620000005</v>
      </c>
      <c r="AJ51" s="9">
        <f>Z51+AB51+AE51+AG51</f>
        <v>108788694.47</v>
      </c>
      <c r="AK51" s="8">
        <f>Y51+AJ51</f>
        <v>376218472.36000001</v>
      </c>
      <c r="AL51" s="8">
        <f>AL24</f>
        <v>2835000</v>
      </c>
      <c r="AM51" s="8">
        <f>AM24</f>
        <v>0</v>
      </c>
      <c r="AN51" s="8">
        <f>AN24</f>
        <v>52401832.200000003</v>
      </c>
      <c r="AO51" s="8">
        <f>AO24</f>
        <v>0</v>
      </c>
      <c r="AP51" s="8">
        <f>AL51-AM51+AN51-AO51</f>
        <v>55236832.200000003</v>
      </c>
      <c r="AQ51" s="8">
        <f>AQ24</f>
        <v>2835000</v>
      </c>
      <c r="AR51" s="8">
        <f>AR24</f>
        <v>0</v>
      </c>
      <c r="AS51" s="8">
        <f>AS24</f>
        <v>54881009.520000011</v>
      </c>
      <c r="AT51" s="8">
        <f>AT24</f>
        <v>0</v>
      </c>
      <c r="AU51" s="8">
        <f>AQ51-AR51+AS51-AT51</f>
        <v>57716009.520000011</v>
      </c>
      <c r="AV51" s="9">
        <f>AL51+AN51+AQ51+AS51</f>
        <v>112952841.72000001</v>
      </c>
      <c r="AW51" s="8">
        <f>AK51+AV51</f>
        <v>489171314.08000004</v>
      </c>
      <c r="AX51" s="8">
        <f>AX24</f>
        <v>2835000</v>
      </c>
      <c r="AY51" s="8">
        <f>AY24</f>
        <v>0</v>
      </c>
      <c r="AZ51" s="8">
        <f>AZ24</f>
        <v>49972356.230000004</v>
      </c>
      <c r="BA51" s="8">
        <f>BA24</f>
        <v>0</v>
      </c>
      <c r="BB51" s="8">
        <f>AX51-AY51+AZ51-BA51</f>
        <v>52807356.230000004</v>
      </c>
      <c r="BC51" s="8">
        <f>BC24</f>
        <v>2835000</v>
      </c>
      <c r="BD51" s="8">
        <f>BD24</f>
        <v>0</v>
      </c>
      <c r="BE51" s="8">
        <f>BE24</f>
        <v>50524069.819999993</v>
      </c>
      <c r="BF51" s="8">
        <f>BF24</f>
        <v>0</v>
      </c>
      <c r="BG51" s="8">
        <f>BC51-BD51+BE51-BF51</f>
        <v>53359069.819999993</v>
      </c>
      <c r="BH51" s="9">
        <f>AX51+AZ51+BC51+BE51</f>
        <v>106166426.05</v>
      </c>
      <c r="BI51" s="8">
        <f>AW51+BH51</f>
        <v>595337740.13</v>
      </c>
      <c r="BJ51" s="8">
        <f>BJ24</f>
        <v>2555000</v>
      </c>
      <c r="BK51" s="8" t="e">
        <f>#REF!</f>
        <v>#REF!</v>
      </c>
      <c r="BL51" s="8">
        <f>BL24</f>
        <v>52277938.610000007</v>
      </c>
      <c r="BM51" s="8" t="e">
        <f>#REF!</f>
        <v>#REF!</v>
      </c>
      <c r="BN51" s="8" t="e">
        <f>BJ51-BK51+BL51-BM51</f>
        <v>#REF!</v>
      </c>
      <c r="BO51" s="8">
        <f>BO24</f>
        <v>1672812.06</v>
      </c>
      <c r="BP51" s="8" t="e">
        <f>#REF!</f>
        <v>#REF!</v>
      </c>
      <c r="BQ51" s="8">
        <f>BQ24</f>
        <v>89107893.699999988</v>
      </c>
      <c r="BR51" s="8" t="e">
        <f>#REF!</f>
        <v>#REF!</v>
      </c>
      <c r="BS51" s="8" t="e">
        <f>BO51-BP51+BQ51-BR51</f>
        <v>#REF!</v>
      </c>
      <c r="BT51" s="9">
        <f>SUM(M51+X51+AJ51+AV51+BH51+BL51+BQ51+BJ51+BO51)</f>
        <v>740951384.5</v>
      </c>
      <c r="BU51" s="28" t="e">
        <f>#REF!--#REF!</f>
        <v>#REF!</v>
      </c>
      <c r="BV51" s="23" t="e">
        <f>BT51-BU51</f>
        <v>#REF!</v>
      </c>
      <c r="IP51" s="3"/>
      <c r="IQ51" s="3"/>
      <c r="IR51" s="3"/>
      <c r="IS51" s="3"/>
      <c r="IT51" s="3"/>
    </row>
    <row r="52" spans="1:254" s="24" customFormat="1" ht="17.100000000000001" customHeight="1" x14ac:dyDescent="0.2">
      <c r="A52" s="14" t="s">
        <v>53</v>
      </c>
      <c r="B52" s="27"/>
      <c r="C52" s="8"/>
      <c r="D52" s="8"/>
      <c r="E52" s="8">
        <f>E50-C51-E51</f>
        <v>-4985921.1800000072</v>
      </c>
      <c r="F52" s="8"/>
      <c r="G52" s="8"/>
      <c r="H52" s="8"/>
      <c r="I52" s="8"/>
      <c r="J52" s="8">
        <f>J50-H51-J51</f>
        <v>-47494324.01000002</v>
      </c>
      <c r="K52" s="8">
        <f>K50-I51-K51</f>
        <v>1270036.6199999973</v>
      </c>
      <c r="L52" s="8"/>
      <c r="M52" s="9">
        <f>M50-M51</f>
        <v>43973824.159999996</v>
      </c>
      <c r="N52" s="8"/>
      <c r="O52" s="8"/>
      <c r="P52" s="8">
        <f>P50-N51-P51</f>
        <v>-51523524.609999992</v>
      </c>
      <c r="Q52" s="8">
        <f>M53</f>
        <v>141357570.52000001</v>
      </c>
      <c r="R52" s="8"/>
      <c r="S52" s="8"/>
      <c r="T52" s="8"/>
      <c r="U52" s="8">
        <f>U50-S51-U51</f>
        <v>8467526.5500000045</v>
      </c>
      <c r="V52" s="8">
        <f>Q53</f>
        <v>141357570.52000001</v>
      </c>
      <c r="W52" s="8"/>
      <c r="X52" s="9">
        <f>X50-X51</f>
        <v>-43055998.060000002</v>
      </c>
      <c r="Y52" s="8"/>
      <c r="Z52" s="8"/>
      <c r="AA52" s="8"/>
      <c r="AB52" s="8">
        <f>AB50-Z51-AB51</f>
        <v>2637293.6299999952</v>
      </c>
      <c r="AC52" s="8">
        <f>V53</f>
        <v>141357570.52000001</v>
      </c>
      <c r="AD52" s="8"/>
      <c r="AE52" s="8"/>
      <c r="AF52" s="8"/>
      <c r="AG52" s="8">
        <f>AG50-AE51-AG51</f>
        <v>-6878564.0500000045</v>
      </c>
      <c r="AH52" s="8">
        <f>AC53</f>
        <v>141357570.52000001</v>
      </c>
      <c r="AI52" s="8"/>
      <c r="AJ52" s="9">
        <f>AJ50-AJ51</f>
        <v>-4241270.4200000018</v>
      </c>
      <c r="AK52" s="8"/>
      <c r="AL52" s="8"/>
      <c r="AM52" s="8"/>
      <c r="AN52" s="8">
        <f>AN50-AL51-AN51</f>
        <v>-2276180.5900000036</v>
      </c>
      <c r="AO52" s="8">
        <f>AH53</f>
        <v>141357570.52000001</v>
      </c>
      <c r="AP52" s="8"/>
      <c r="AQ52" s="8"/>
      <c r="AR52" s="8"/>
      <c r="AS52" s="8">
        <f>AS50-AQ51-AS51</f>
        <v>-12144914.230000012</v>
      </c>
      <c r="AT52" s="8">
        <f>AO53</f>
        <v>141357570.52000001</v>
      </c>
      <c r="AU52" s="8"/>
      <c r="AV52" s="9">
        <f>AV50-AV51</f>
        <v>-14421094.820000008</v>
      </c>
      <c r="AW52" s="8"/>
      <c r="AX52" s="8"/>
      <c r="AY52" s="8"/>
      <c r="AZ52" s="8">
        <f>AZ50-AX51-AZ51</f>
        <v>-7505568.5800000057</v>
      </c>
      <c r="BA52" s="8">
        <f>AT53</f>
        <v>141357570.52000001</v>
      </c>
      <c r="BB52" s="8"/>
      <c r="BC52" s="8"/>
      <c r="BD52" s="8"/>
      <c r="BE52" s="8">
        <f>BE50-BC51-BE51</f>
        <v>-4215888.5799999908</v>
      </c>
      <c r="BF52" s="8">
        <f>BA53</f>
        <v>141357570.52000001</v>
      </c>
      <c r="BG52" s="8"/>
      <c r="BH52" s="9">
        <f>BH50-BH51</f>
        <v>-11721457.159999996</v>
      </c>
      <c r="BI52" s="8"/>
      <c r="BJ52" s="8"/>
      <c r="BK52" s="8"/>
      <c r="BL52" s="8">
        <f>BL50-BJ51-BL51</f>
        <v>-5423183.7200000063</v>
      </c>
      <c r="BM52" s="8">
        <f>BF53</f>
        <v>141357570.52000001</v>
      </c>
      <c r="BN52" s="8"/>
      <c r="BO52" s="8"/>
      <c r="BP52" s="8"/>
      <c r="BQ52" s="8">
        <f>BQ50-BO51-BQ51</f>
        <v>-10810682.269999996</v>
      </c>
      <c r="BR52" s="8"/>
      <c r="BS52" s="8"/>
      <c r="BT52" s="9">
        <f>BT50-BT51</f>
        <v>-45699862.290000081</v>
      </c>
      <c r="BU52" s="28"/>
      <c r="BV52" s="23"/>
      <c r="IP52" s="3"/>
      <c r="IQ52" s="3"/>
      <c r="IR52" s="3"/>
      <c r="IS52" s="3"/>
      <c r="IT52" s="3"/>
    </row>
    <row r="53" spans="1:254" s="24" customFormat="1" ht="14.1" customHeight="1" x14ac:dyDescent="0.2">
      <c r="A53" s="14" t="s">
        <v>54</v>
      </c>
      <c r="B53" s="9">
        <f>B50+B54-B51</f>
        <v>97383746.360000014</v>
      </c>
      <c r="C53" s="9"/>
      <c r="D53" s="9"/>
      <c r="E53" s="8">
        <f>E52+B53</f>
        <v>92397825.180000007</v>
      </c>
      <c r="F53" s="8">
        <f>F50-D51-F51+B54</f>
        <v>140087533.89999998</v>
      </c>
      <c r="G53" s="8"/>
      <c r="H53" s="8"/>
      <c r="I53" s="8"/>
      <c r="J53" s="8">
        <f>J52+F53</f>
        <v>92593209.889999956</v>
      </c>
      <c r="K53" s="8">
        <f>K52+F53</f>
        <v>141357570.51999998</v>
      </c>
      <c r="L53" s="8"/>
      <c r="M53" s="9">
        <f>M52+B53</f>
        <v>141357570.52000001</v>
      </c>
      <c r="N53" s="11"/>
      <c r="O53" s="11"/>
      <c r="P53" s="8">
        <f>P52+K53</f>
        <v>89834045.909999996</v>
      </c>
      <c r="Q53" s="8">
        <f>Q50+Q54-O51-Q51+Q52</f>
        <v>141357570.52000001</v>
      </c>
      <c r="R53" s="8"/>
      <c r="S53" s="8"/>
      <c r="T53" s="8"/>
      <c r="U53" s="8">
        <f>P53+U52</f>
        <v>98301572.460000008</v>
      </c>
      <c r="V53" s="8">
        <f>V50+V54-T51-V51+V52</f>
        <v>141357570.52000001</v>
      </c>
      <c r="W53" s="8"/>
      <c r="X53" s="9">
        <f>X52+M53</f>
        <v>98301572.460000008</v>
      </c>
      <c r="Y53" s="8" t="e">
        <f>Y50+Y54+Y51+#REF!</f>
        <v>#REF!</v>
      </c>
      <c r="Z53" s="8"/>
      <c r="AA53" s="8"/>
      <c r="AB53" s="8">
        <f>AB52+U53</f>
        <v>100938866.09</v>
      </c>
      <c r="AC53" s="8">
        <f>AC50+AC54-AA51-AC51+AC52</f>
        <v>141357570.52000001</v>
      </c>
      <c r="AD53" s="8"/>
      <c r="AE53" s="8"/>
      <c r="AF53" s="8"/>
      <c r="AG53" s="8">
        <f>AG52+AB53</f>
        <v>94060302.039999992</v>
      </c>
      <c r="AH53" s="8">
        <f>AH50+AH54-AF51-AH51+AH52</f>
        <v>141357570.52000001</v>
      </c>
      <c r="AI53" s="8"/>
      <c r="AJ53" s="9">
        <f>AJ52+X53</f>
        <v>94060302.040000007</v>
      </c>
      <c r="AK53" s="8" t="e">
        <f>AK50+AK54+AK51+#REF!-#REF!-#REF!-#REF!-#REF!</f>
        <v>#REF!</v>
      </c>
      <c r="AL53" s="8"/>
      <c r="AM53" s="8"/>
      <c r="AN53" s="8">
        <f>AN52+AG53</f>
        <v>91784121.449999988</v>
      </c>
      <c r="AO53" s="8">
        <f>AO50+AO54-AM51-AO51+AO52</f>
        <v>141357570.52000001</v>
      </c>
      <c r="AP53" s="8"/>
      <c r="AQ53" s="8"/>
      <c r="AR53" s="8"/>
      <c r="AS53" s="8">
        <f>AS52+AN53</f>
        <v>79639207.219999969</v>
      </c>
      <c r="AT53" s="8">
        <f>AT50+AT54-AR51-AT51+AT52</f>
        <v>141357570.52000001</v>
      </c>
      <c r="AU53" s="8"/>
      <c r="AV53" s="9">
        <f>AV52+AJ53</f>
        <v>79639207.219999999</v>
      </c>
      <c r="AW53" s="8" t="e">
        <f>AW50+AW54+AW51+#REF!-#REF!-#REF!-#REF!-#REF!</f>
        <v>#REF!</v>
      </c>
      <c r="AX53" s="8"/>
      <c r="AY53" s="8"/>
      <c r="AZ53" s="8">
        <f>AZ52+AS53</f>
        <v>72133638.639999956</v>
      </c>
      <c r="BA53" s="8">
        <f>BA50+BA54-AY51-BA51+BA52</f>
        <v>141357570.52000001</v>
      </c>
      <c r="BB53" s="8"/>
      <c r="BC53" s="8" t="s">
        <v>27</v>
      </c>
      <c r="BD53" s="8" t="s">
        <v>27</v>
      </c>
      <c r="BE53" s="8">
        <f>BE52+AZ53</f>
        <v>67917750.059999973</v>
      </c>
      <c r="BF53" s="8">
        <f>BF50+BF54-BD51-BF51+BF52</f>
        <v>141357570.52000001</v>
      </c>
      <c r="BG53" s="8"/>
      <c r="BH53" s="9">
        <f>BH52+AV53</f>
        <v>67917750.060000002</v>
      </c>
      <c r="BI53" s="8" t="e">
        <f>BI50+BI54+BI51+#REF!-#REF!-#REF!-#REF!-#REF!</f>
        <v>#REF!</v>
      </c>
      <c r="BJ53" s="8"/>
      <c r="BK53" s="8"/>
      <c r="BL53" s="8">
        <f>BL52+BE53</f>
        <v>62494566.339999966</v>
      </c>
      <c r="BM53" s="8" t="e">
        <f>BM50+BM54-BK51-BM51+BM52</f>
        <v>#REF!</v>
      </c>
      <c r="BN53" s="8"/>
      <c r="BO53" s="8" t="s">
        <v>27</v>
      </c>
      <c r="BP53" s="8" t="s">
        <v>27</v>
      </c>
      <c r="BQ53" s="8">
        <f>BQ52+BL53</f>
        <v>51683884.06999997</v>
      </c>
      <c r="BR53" s="8" t="e">
        <f>BR50-SUM(BR51:BR52)</f>
        <v>#REF!</v>
      </c>
      <c r="BS53" s="8" t="e">
        <f>BS50-SUM(BS51:BS52)</f>
        <v>#REF!</v>
      </c>
      <c r="BT53" s="9">
        <f>BT52+BT54</f>
        <v>51683884.069999918</v>
      </c>
      <c r="BU53" s="28" t="e">
        <f>BU50-SUM(BU51:BU52)</f>
        <v>#REF!</v>
      </c>
      <c r="BV53" s="23" t="e">
        <f>BT53-BU53</f>
        <v>#REF!</v>
      </c>
      <c r="IP53" s="3"/>
      <c r="IQ53" s="3"/>
      <c r="IR53" s="3"/>
      <c r="IS53" s="3"/>
      <c r="IT53" s="3"/>
    </row>
    <row r="54" spans="1:254" s="24" customFormat="1" ht="15.75" customHeight="1" x14ac:dyDescent="0.2">
      <c r="A54" s="48" t="s">
        <v>35</v>
      </c>
      <c r="B54" s="45">
        <v>97383746.359999999</v>
      </c>
      <c r="C54" s="43"/>
      <c r="D54" s="43"/>
      <c r="E54" s="43">
        <f>B54</f>
        <v>97383746.359999999</v>
      </c>
      <c r="F54" s="43">
        <v>31339022.440000001</v>
      </c>
      <c r="G54" s="43">
        <f>E54-F54</f>
        <v>66044723.920000002</v>
      </c>
      <c r="H54" s="43"/>
      <c r="I54" s="43"/>
      <c r="J54" s="43">
        <f>G54</f>
        <v>66044723.920000002</v>
      </c>
      <c r="K54" s="43">
        <v>14360839.85</v>
      </c>
      <c r="L54" s="43">
        <f>J54-K54</f>
        <v>51683884.07</v>
      </c>
      <c r="M54" s="43">
        <f>F54+K54</f>
        <v>45699862.289999999</v>
      </c>
      <c r="N54" s="49"/>
      <c r="O54" s="49"/>
      <c r="P54" s="43">
        <f>L54</f>
        <v>51683884.07</v>
      </c>
      <c r="Q54" s="43"/>
      <c r="R54" s="43">
        <f>L54-Q54</f>
        <v>51683884.07</v>
      </c>
      <c r="S54" s="43"/>
      <c r="T54" s="43"/>
      <c r="U54" s="43"/>
      <c r="V54" s="43"/>
      <c r="W54" s="43">
        <f>U54-V54</f>
        <v>0</v>
      </c>
      <c r="X54" s="43">
        <f>Q54+V54</f>
        <v>0</v>
      </c>
      <c r="Y54" s="45">
        <f>X54</f>
        <v>0</v>
      </c>
      <c r="Z54" s="43"/>
      <c r="AA54" s="43"/>
      <c r="AB54" s="43">
        <f>W54</f>
        <v>0</v>
      </c>
      <c r="AC54" s="43"/>
      <c r="AD54" s="43">
        <f>W54-AC54</f>
        <v>0</v>
      </c>
      <c r="AE54" s="43"/>
      <c r="AF54" s="43"/>
      <c r="AG54" s="43">
        <f>AD54</f>
        <v>0</v>
      </c>
      <c r="AH54" s="43"/>
      <c r="AI54" s="43">
        <f>AG54-AH54</f>
        <v>0</v>
      </c>
      <c r="AJ54" s="43">
        <f>AC54+AH54</f>
        <v>0</v>
      </c>
      <c r="AK54" s="43">
        <f>Y54+AJ54</f>
        <v>0</v>
      </c>
      <c r="AL54" s="43"/>
      <c r="AM54" s="43"/>
      <c r="AN54" s="43">
        <f>AI54</f>
        <v>0</v>
      </c>
      <c r="AO54" s="43"/>
      <c r="AP54" s="43">
        <f>AN54-AO54</f>
        <v>0</v>
      </c>
      <c r="AQ54" s="43"/>
      <c r="AR54" s="43"/>
      <c r="AS54" s="43">
        <f>AP54</f>
        <v>0</v>
      </c>
      <c r="AT54" s="43"/>
      <c r="AU54" s="43">
        <f>AS54-AT54</f>
        <v>0</v>
      </c>
      <c r="AV54" s="43">
        <f>AO54+AT54</f>
        <v>0</v>
      </c>
      <c r="AW54" s="43">
        <f>AK54+AV54</f>
        <v>0</v>
      </c>
      <c r="AX54" s="43"/>
      <c r="AY54" s="43"/>
      <c r="AZ54" s="43">
        <f>AU54</f>
        <v>0</v>
      </c>
      <c r="BA54" s="43"/>
      <c r="BB54" s="43">
        <f>AU54-BA54</f>
        <v>0</v>
      </c>
      <c r="BC54" s="43"/>
      <c r="BD54" s="43"/>
      <c r="BE54" s="43">
        <f>BB54</f>
        <v>0</v>
      </c>
      <c r="BF54" s="43"/>
      <c r="BG54" s="43">
        <f>BE54-BF54</f>
        <v>0</v>
      </c>
      <c r="BH54" s="43">
        <f>BA54+BF54</f>
        <v>0</v>
      </c>
      <c r="BI54" s="43">
        <f>AW54+BH54</f>
        <v>0</v>
      </c>
      <c r="BJ54" s="43"/>
      <c r="BK54" s="43"/>
      <c r="BL54" s="43">
        <f>BG54</f>
        <v>0</v>
      </c>
      <c r="BM54" s="43"/>
      <c r="BN54" s="43"/>
      <c r="BO54" s="43"/>
      <c r="BP54" s="43"/>
      <c r="BQ54" s="43"/>
      <c r="BR54" s="43"/>
      <c r="BS54" s="43"/>
      <c r="BT54" s="43">
        <f>B54</f>
        <v>97383746.359999999</v>
      </c>
      <c r="BU54" s="26"/>
      <c r="BV54" s="23">
        <f>BT54-BU54</f>
        <v>97383746.359999999</v>
      </c>
      <c r="IP54" s="3"/>
      <c r="IQ54" s="3"/>
      <c r="IR54" s="3"/>
      <c r="IS54" s="3"/>
      <c r="IT54" s="3"/>
    </row>
    <row r="56" spans="1:254" x14ac:dyDescent="0.2">
      <c r="U56" s="20"/>
      <c r="W56" s="19"/>
      <c r="X56" s="24"/>
      <c r="AG56" s="20"/>
      <c r="AI56" s="19"/>
      <c r="AJ56" s="24"/>
      <c r="AL56" s="20"/>
      <c r="AQ56" s="24"/>
      <c r="AS56" s="20"/>
      <c r="AU56" s="19"/>
      <c r="AV56" s="24"/>
      <c r="AX56" s="20"/>
      <c r="BC56" s="24"/>
      <c r="BG56" s="16"/>
      <c r="BH56" s="24"/>
      <c r="BJ56" s="20"/>
      <c r="BO56" s="24"/>
      <c r="BV56" s="16"/>
      <c r="BW56" s="2"/>
      <c r="IS56" s="3"/>
    </row>
    <row r="57" spans="1:254" x14ac:dyDescent="0.2">
      <c r="U57" s="20"/>
      <c r="W57" s="19"/>
      <c r="X57" s="24"/>
      <c r="AG57" s="20"/>
      <c r="AI57" s="19"/>
      <c r="AJ57" s="24"/>
      <c r="AL57" s="20"/>
      <c r="AQ57" s="24"/>
      <c r="AS57" s="20"/>
      <c r="AU57" s="19"/>
      <c r="AV57" s="24"/>
      <c r="AX57" s="20"/>
      <c r="BC57" s="24"/>
      <c r="BG57" s="16"/>
      <c r="BH57" s="24"/>
      <c r="BJ57" s="20"/>
      <c r="BO57" s="24"/>
      <c r="BV57" s="16"/>
      <c r="BW57" s="2"/>
      <c r="IS57" s="3"/>
    </row>
    <row r="58" spans="1:254" x14ac:dyDescent="0.2">
      <c r="U58" s="20"/>
      <c r="W58" s="19"/>
      <c r="X58" s="24"/>
      <c r="AG58" s="20"/>
      <c r="AI58" s="19"/>
      <c r="AJ58" s="24"/>
      <c r="AL58" s="20"/>
      <c r="AQ58" s="24"/>
      <c r="AS58" s="20"/>
      <c r="AU58" s="19"/>
      <c r="AV58" s="24"/>
      <c r="AX58" s="20"/>
      <c r="BC58" s="24"/>
      <c r="BG58" s="16"/>
      <c r="BH58" s="24"/>
      <c r="BJ58" s="20"/>
      <c r="BO58" s="24"/>
      <c r="BV58" s="16"/>
      <c r="BW58" s="2"/>
      <c r="IS58" s="3"/>
    </row>
    <row r="59" spans="1:254" x14ac:dyDescent="0.2">
      <c r="U59" s="20"/>
      <c r="W59" s="19"/>
      <c r="X59" s="24"/>
      <c r="AG59" s="20"/>
      <c r="AI59" s="19"/>
      <c r="AJ59" s="24"/>
      <c r="AL59" s="20"/>
      <c r="AQ59" s="24"/>
      <c r="AS59" s="20"/>
      <c r="AU59" s="19"/>
      <c r="AV59" s="24"/>
      <c r="AX59" s="20"/>
      <c r="BC59" s="24"/>
      <c r="BG59" s="16"/>
      <c r="BH59" s="24"/>
      <c r="BJ59" s="20"/>
      <c r="BO59" s="24"/>
      <c r="BV59" s="16"/>
      <c r="BW59" s="2"/>
      <c r="IS59" s="3"/>
    </row>
    <row r="60" spans="1:254" x14ac:dyDescent="0.2">
      <c r="U60" s="20"/>
      <c r="W60" s="19"/>
      <c r="X60" s="24"/>
      <c r="AG60" s="20"/>
      <c r="AI60" s="19"/>
      <c r="AJ60" s="24"/>
      <c r="AL60" s="20"/>
      <c r="AQ60" s="24"/>
      <c r="AS60" s="20"/>
      <c r="AU60" s="19"/>
      <c r="AV60" s="24"/>
      <c r="AX60" s="20"/>
      <c r="BC60" s="24"/>
      <c r="BG60" s="16"/>
      <c r="BH60" s="24"/>
      <c r="BJ60" s="20"/>
      <c r="BO60" s="24"/>
      <c r="BV60" s="16"/>
      <c r="BW60" s="2"/>
      <c r="IS60" s="3"/>
    </row>
    <row r="61" spans="1:254" x14ac:dyDescent="0.2">
      <c r="U61" s="20"/>
      <c r="W61" s="19"/>
      <c r="X61" s="24"/>
      <c r="AG61" s="20"/>
      <c r="AI61" s="19"/>
      <c r="AJ61" s="24"/>
      <c r="AL61" s="20"/>
      <c r="AQ61" s="24"/>
      <c r="AS61" s="20"/>
      <c r="AU61" s="19"/>
      <c r="AV61" s="24"/>
      <c r="AX61" s="20"/>
      <c r="BC61" s="24"/>
      <c r="BG61" s="16"/>
      <c r="BH61" s="24"/>
      <c r="BJ61" s="20"/>
      <c r="BO61" s="24"/>
      <c r="BV61" s="16"/>
      <c r="BW61" s="2"/>
      <c r="IS61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  <row r="76" spans="21:253" x14ac:dyDescent="0.2">
      <c r="U76" s="20"/>
      <c r="W76" s="19"/>
      <c r="X76" s="24"/>
      <c r="AG76" s="20"/>
      <c r="AI76" s="19"/>
      <c r="AJ76" s="24"/>
      <c r="AL76" s="20"/>
      <c r="AQ76" s="24"/>
      <c r="AS76" s="20"/>
      <c r="AU76" s="19"/>
      <c r="AV76" s="24"/>
      <c r="AX76" s="20"/>
      <c r="BC76" s="24"/>
      <c r="BG76" s="16"/>
      <c r="BH76" s="24"/>
      <c r="BJ76" s="20"/>
      <c r="BO76" s="24"/>
      <c r="BV76" s="16"/>
      <c r="BW76" s="2"/>
      <c r="IS76" s="3"/>
    </row>
    <row r="77" spans="21:253" x14ac:dyDescent="0.2">
      <c r="U77" s="20"/>
      <c r="W77" s="19"/>
      <c r="X77" s="24"/>
      <c r="AG77" s="20"/>
      <c r="AI77" s="19"/>
      <c r="AJ77" s="24"/>
      <c r="AL77" s="20"/>
      <c r="AQ77" s="24"/>
      <c r="AS77" s="20"/>
      <c r="AU77" s="19"/>
      <c r="AV77" s="24"/>
      <c r="AX77" s="20"/>
      <c r="BC77" s="24"/>
      <c r="BG77" s="16"/>
      <c r="BH77" s="24"/>
      <c r="BJ77" s="20"/>
      <c r="BO77" s="24"/>
      <c r="BV77" s="16"/>
      <c r="BW77" s="2"/>
      <c r="IS77" s="3"/>
    </row>
    <row r="78" spans="21:253" x14ac:dyDescent="0.2">
      <c r="U78" s="20"/>
      <c r="W78" s="19"/>
      <c r="X78" s="24"/>
      <c r="AG78" s="20"/>
      <c r="AI78" s="19"/>
      <c r="AJ78" s="24"/>
      <c r="AL78" s="20"/>
      <c r="AQ78" s="24"/>
      <c r="AS78" s="20"/>
      <c r="AU78" s="19"/>
      <c r="AV78" s="24"/>
      <c r="AX78" s="20"/>
      <c r="BC78" s="24"/>
      <c r="BG78" s="16"/>
      <c r="BH78" s="24"/>
      <c r="BJ78" s="20"/>
      <c r="BO78" s="24"/>
      <c r="BV78" s="16"/>
      <c r="BW78" s="2"/>
      <c r="IS78" s="3"/>
    </row>
  </sheetData>
  <mergeCells count="233"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  <mergeCell ref="C3:D3"/>
    <mergeCell ref="E3:F3"/>
    <mergeCell ref="AJ2:AJ4"/>
    <mergeCell ref="R3:R4"/>
    <mergeCell ref="S3:T3"/>
    <mergeCell ref="U3:V3"/>
    <mergeCell ref="E28:F28"/>
    <mergeCell ref="G28:G29"/>
    <mergeCell ref="H28:I28"/>
    <mergeCell ref="L28:L29"/>
    <mergeCell ref="N28:O28"/>
    <mergeCell ref="S28:T28"/>
    <mergeCell ref="U28:V28"/>
    <mergeCell ref="W28:W29"/>
    <mergeCell ref="J28:K28"/>
    <mergeCell ref="P28:Q28"/>
    <mergeCell ref="C28:D28"/>
    <mergeCell ref="S2:W2"/>
    <mergeCell ref="X2:X4"/>
    <mergeCell ref="Y2:Y4"/>
    <mergeCell ref="AD3:AD4"/>
    <mergeCell ref="AE3:AF3"/>
    <mergeCell ref="AG3:AH3"/>
    <mergeCell ref="AE2:AI2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H2:L2"/>
    <mergeCell ref="M2:M4"/>
    <mergeCell ref="N2:R2"/>
    <mergeCell ref="AK2:AK4"/>
    <mergeCell ref="AL2:AP2"/>
    <mergeCell ref="AW2:AW4"/>
    <mergeCell ref="AX2:BB2"/>
    <mergeCell ref="R28:R29"/>
    <mergeCell ref="BO3:BP3"/>
    <mergeCell ref="A27:B29"/>
    <mergeCell ref="AI3:AI4"/>
    <mergeCell ref="AS3:AT3"/>
    <mergeCell ref="AU3:AU4"/>
    <mergeCell ref="AX3:AY3"/>
    <mergeCell ref="AZ3:BA3"/>
    <mergeCell ref="AS28:AT28"/>
    <mergeCell ref="AU28:AU29"/>
    <mergeCell ref="Y27:Y29"/>
    <mergeCell ref="Z27:AD27"/>
    <mergeCell ref="AX28:AY28"/>
    <mergeCell ref="C27:F27"/>
    <mergeCell ref="H27:L27"/>
    <mergeCell ref="M27:M29"/>
    <mergeCell ref="N27:R27"/>
    <mergeCell ref="S27:W27"/>
    <mergeCell ref="X27:X29"/>
    <mergeCell ref="BB3:BB4"/>
    <mergeCell ref="AQ28:AR28"/>
    <mergeCell ref="A2:A4"/>
    <mergeCell ref="B2:B4"/>
    <mergeCell ref="C2:F2"/>
    <mergeCell ref="BO28:BP28"/>
    <mergeCell ref="BI27:BI29"/>
    <mergeCell ref="BJ27:BN27"/>
    <mergeCell ref="AW27:AW29"/>
    <mergeCell ref="AX27:BB27"/>
    <mergeCell ref="AZ28:BA28"/>
    <mergeCell ref="BB28:BB29"/>
    <mergeCell ref="BC28:BD28"/>
    <mergeCell ref="BG28:BG29"/>
    <mergeCell ref="BJ28:BK28"/>
    <mergeCell ref="BL28:BN28"/>
    <mergeCell ref="BQ28:BS28"/>
    <mergeCell ref="Z28:AA28"/>
    <mergeCell ref="AB28:AC28"/>
    <mergeCell ref="AD28:AD29"/>
    <mergeCell ref="AE28:AF28"/>
    <mergeCell ref="AG28:AH28"/>
    <mergeCell ref="S37:W37"/>
    <mergeCell ref="R38:R39"/>
    <mergeCell ref="S38:T38"/>
    <mergeCell ref="U38:V38"/>
    <mergeCell ref="W38:W39"/>
    <mergeCell ref="BE28:BF28"/>
    <mergeCell ref="AI28:AI29"/>
    <mergeCell ref="AJ27:AJ29"/>
    <mergeCell ref="AK27:AK29"/>
    <mergeCell ref="AL27:AP27"/>
    <mergeCell ref="AK37:AK39"/>
    <mergeCell ref="Z38:AA38"/>
    <mergeCell ref="AB38:AC38"/>
    <mergeCell ref="AD38:AD39"/>
    <mergeCell ref="AE38:AF38"/>
    <mergeCell ref="AQ37:AU37"/>
    <mergeCell ref="BO37:BS37"/>
    <mergeCell ref="AE27:AI27"/>
    <mergeCell ref="A37:B39"/>
    <mergeCell ref="C37:F37"/>
    <mergeCell ref="H37:L37"/>
    <mergeCell ref="M37:M39"/>
    <mergeCell ref="N37:R37"/>
    <mergeCell ref="AV37:AV39"/>
    <mergeCell ref="AP38:AP39"/>
    <mergeCell ref="AQ38:AR38"/>
    <mergeCell ref="AS38:AT38"/>
    <mergeCell ref="AU38:AU39"/>
    <mergeCell ref="X37:X39"/>
    <mergeCell ref="Y37:Y39"/>
    <mergeCell ref="Z37:AD37"/>
    <mergeCell ref="AE37:AI37"/>
    <mergeCell ref="AJ37:AJ39"/>
    <mergeCell ref="C38:D38"/>
    <mergeCell ref="E38:F38"/>
    <mergeCell ref="G38:G39"/>
    <mergeCell ref="H38:I38"/>
    <mergeCell ref="J38:K38"/>
    <mergeCell ref="L38:L39"/>
    <mergeCell ref="N38:O38"/>
    <mergeCell ref="P38:Q38"/>
    <mergeCell ref="AG38:AH38"/>
    <mergeCell ref="A47:B49"/>
    <mergeCell ref="C47:F47"/>
    <mergeCell ref="H47:L47"/>
    <mergeCell ref="M47:M49"/>
    <mergeCell ref="N47:R47"/>
    <mergeCell ref="S47:W47"/>
    <mergeCell ref="L48:L49"/>
    <mergeCell ref="BC47:BG47"/>
    <mergeCell ref="AL48:AM48"/>
    <mergeCell ref="AN48:AO48"/>
    <mergeCell ref="AP48:AP49"/>
    <mergeCell ref="AQ48:AR48"/>
    <mergeCell ref="AS48:AT48"/>
    <mergeCell ref="AU48:AU49"/>
    <mergeCell ref="AX48:AY48"/>
    <mergeCell ref="AZ48:BA48"/>
    <mergeCell ref="AK47:AK49"/>
    <mergeCell ref="P48:Q48"/>
    <mergeCell ref="R48:R49"/>
    <mergeCell ref="AE47:AI47"/>
    <mergeCell ref="AJ47:AJ49"/>
    <mergeCell ref="C48:D48"/>
    <mergeCell ref="E48:F48"/>
    <mergeCell ref="G48:G49"/>
    <mergeCell ref="H48:I48"/>
    <mergeCell ref="J48:K48"/>
    <mergeCell ref="N48:O48"/>
    <mergeCell ref="AG48:AH48"/>
    <mergeCell ref="AI48:AI49"/>
    <mergeCell ref="BQ38:BS38"/>
    <mergeCell ref="AI38:AI39"/>
    <mergeCell ref="AL38:AM38"/>
    <mergeCell ref="AN38:AO38"/>
    <mergeCell ref="BE38:BF38"/>
    <mergeCell ref="BG38:BG39"/>
    <mergeCell ref="AW37:AW39"/>
    <mergeCell ref="AX37:BB37"/>
    <mergeCell ref="BC37:BG37"/>
    <mergeCell ref="AL37:AP37"/>
    <mergeCell ref="BJ37:BN37"/>
    <mergeCell ref="AX38:AY38"/>
    <mergeCell ref="AZ38:BA38"/>
    <mergeCell ref="BB38:BB39"/>
    <mergeCell ref="BC38:BD38"/>
    <mergeCell ref="BJ38:BK38"/>
    <mergeCell ref="AL47:AP47"/>
    <mergeCell ref="AQ47:AU47"/>
    <mergeCell ref="AV47:AV49"/>
    <mergeCell ref="BH37:BH39"/>
    <mergeCell ref="BI37:BI39"/>
    <mergeCell ref="BC27:BG27"/>
    <mergeCell ref="BH27:BH29"/>
    <mergeCell ref="AW47:AW49"/>
    <mergeCell ref="S48:T48"/>
    <mergeCell ref="U48:V48"/>
    <mergeCell ref="W48:W49"/>
    <mergeCell ref="Z48:AA48"/>
    <mergeCell ref="AB48:AC48"/>
    <mergeCell ref="X47:X49"/>
    <mergeCell ref="Y47:Y49"/>
    <mergeCell ref="Z47:AD47"/>
    <mergeCell ref="AE48:AF48"/>
    <mergeCell ref="AD48:AD49"/>
    <mergeCell ref="AQ27:AU27"/>
    <mergeCell ref="AV27:AV29"/>
    <mergeCell ref="AL28:AM28"/>
    <mergeCell ref="AN28:AO28"/>
    <mergeCell ref="AP28:AP29"/>
    <mergeCell ref="C1:M1"/>
    <mergeCell ref="N1:AJ1"/>
    <mergeCell ref="AL1:BH1"/>
    <mergeCell ref="BJ1:BT1"/>
    <mergeCell ref="BO47:BS47"/>
    <mergeCell ref="BO38:BP38"/>
    <mergeCell ref="BB48:BB49"/>
    <mergeCell ref="BC48:BD48"/>
    <mergeCell ref="BE48:BF48"/>
    <mergeCell ref="BG48:BG49"/>
    <mergeCell ref="BJ48:BK48"/>
    <mergeCell ref="BT3:BT4"/>
    <mergeCell ref="BT48:BT49"/>
    <mergeCell ref="BT28:BT29"/>
    <mergeCell ref="BT38:BT39"/>
    <mergeCell ref="BO48:BP48"/>
    <mergeCell ref="BQ48:BS48"/>
    <mergeCell ref="BO27:BS27"/>
    <mergeCell ref="BL48:BN48"/>
    <mergeCell ref="BH47:BH49"/>
    <mergeCell ref="BI47:BI49"/>
    <mergeCell ref="BJ47:BN47"/>
    <mergeCell ref="AX47:BB47"/>
    <mergeCell ref="BL38:BN38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6" max="71" man="1"/>
  </rowBreaks>
  <colBreaks count="1" manualBreakCount="1">
    <brk id="6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dirlegis3</cp:lastModifiedBy>
  <cp:revision>1</cp:revision>
  <cp:lastPrinted>2020-03-06T13:06:20Z</cp:lastPrinted>
  <dcterms:created xsi:type="dcterms:W3CDTF">2007-05-23T16:50:29Z</dcterms:created>
  <dcterms:modified xsi:type="dcterms:W3CDTF">2020-03-16T18:02:15Z</dcterms:modified>
</cp:coreProperties>
</file>