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I" sheetId="1" r:id="rId1"/>
  </sheets>
  <definedNames>
    <definedName name="_xlnm.Print_Titles" localSheetId="0">'ANEXO I'!$A:$A</definedName>
  </definedNames>
  <calcPr fullCalcOnLoad="1"/>
</workbook>
</file>

<file path=xl/sharedStrings.xml><?xml version="1.0" encoding="utf-8"?>
<sst xmlns="http://schemas.openxmlformats.org/spreadsheetml/2006/main" count="90" uniqueCount="44">
  <si>
    <t>Fontes de Receita</t>
  </si>
  <si>
    <t>JANEIRO</t>
  </si>
  <si>
    <t>FEVEREIRO</t>
  </si>
  <si>
    <t>1º BIMESTRE</t>
  </si>
  <si>
    <t>MARÇO</t>
  </si>
  <si>
    <t>ABRIL</t>
  </si>
  <si>
    <t>2º BIMESTRE</t>
  </si>
  <si>
    <t>MAIO</t>
  </si>
  <si>
    <t>JUNHO</t>
  </si>
  <si>
    <t>3º BIMESTRE</t>
  </si>
  <si>
    <t>JULHO</t>
  </si>
  <si>
    <t>AGOSTO</t>
  </si>
  <si>
    <t>4º BIMESTRE</t>
  </si>
  <si>
    <t>SETEMBRO</t>
  </si>
  <si>
    <t>OUTUBRO</t>
  </si>
  <si>
    <t>5º BIMESTRE</t>
  </si>
  <si>
    <t>NOVEMBRO</t>
  </si>
  <si>
    <t>DEZEMBRO</t>
  </si>
  <si>
    <t>6º BIMESTRE</t>
  </si>
  <si>
    <t>TOTAL</t>
  </si>
  <si>
    <t>Previsto</t>
  </si>
  <si>
    <t>Arrecadado</t>
  </si>
  <si>
    <t>Diferença</t>
  </si>
  <si>
    <t>RECEITAS CORRENTES</t>
  </si>
  <si>
    <t>RECEITA DE CONTRIBUIÇÃO</t>
  </si>
  <si>
    <t>RECEITA PATRIMONIAL</t>
  </si>
  <si>
    <t>RECEITA AGROPECUÁRIA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</si>
  <si>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</si>
  <si>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</si>
  <si>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</si>
  <si>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</si>
  <si>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</si>
  <si>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</si>
  <si>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AMORT. DE EMPRÉSTIMOS</t>
  </si>
  <si>
    <t>TRANSFERÊNCIAS DE CAPITAL</t>
  </si>
  <si>
    <t>AMORT.  DE EMPRÉSTIMOS</t>
  </si>
  <si>
    <t>DEDUTORA FUNDEB</t>
  </si>
  <si>
    <t>DEDUÇÃO POR RENÚNCIA</t>
  </si>
  <si>
    <t>OUTRAS RECEITAS DE CAPITAL</t>
  </si>
  <si>
    <t>IMPOSTOS, TAXAS E CONTRIBUIÇÕES DE MELHORIA</t>
  </si>
  <si>
    <t>ANEXO I – METAS DE ARRECADAÇÃO PARA O EXERCÍCIO 2020</t>
  </si>
  <si>
    <t>PROJEÇÃO PERCENTUAL DA ARRECADAÇÃO MENSAL – 2020</t>
  </si>
  <si>
    <t>CONTRIBUIÇÕES</t>
  </si>
  <si>
    <t>Realizado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</si>
</sst>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ill="0" applyAlignment="0" applyProtection="0"/>
  </cellStyleXfs>
  <cellXfs count="35">
    <xf numFmtId="0" fontId="0" fillId="0" borderId="0" xfId="0" applyAlignment="1">
      <alignment/>
    </xf>
    <xf numFmtId="4" fontId="18" fillId="0" borderId="0" xfId="60" applyNumberFormat="1" applyFont="1" applyFill="1" applyBorder="1" applyAlignment="1" applyProtection="1">
      <alignment vertical="center"/>
      <protection/>
    </xf>
    <xf numFmtId="4" fontId="19" fillId="0" borderId="0" xfId="60" applyNumberFormat="1" applyFont="1" applyFill="1" applyBorder="1" applyAlignment="1" applyProtection="1">
      <alignment vertical="center"/>
      <protection/>
    </xf>
    <xf numFmtId="172" fontId="19" fillId="33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3" borderId="10" xfId="6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4" fontId="19" fillId="0" borderId="10" xfId="6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60" applyNumberFormat="1" applyFont="1" applyFill="1" applyBorder="1" applyAlignment="1" applyProtection="1">
      <alignment horizontal="right" vertical="center"/>
      <protection/>
    </xf>
    <xf numFmtId="4" fontId="18" fillId="0" borderId="10" xfId="6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vertical="center"/>
    </xf>
    <xf numFmtId="4" fontId="18" fillId="0" borderId="10" xfId="60" applyNumberFormat="1" applyFont="1" applyFill="1" applyBorder="1" applyAlignment="1" applyProtection="1">
      <alignment horizontal="right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0" fontId="19" fillId="0" borderId="10" xfId="49" applyNumberFormat="1" applyFont="1" applyFill="1" applyBorder="1" applyAlignment="1" applyProtection="1">
      <alignment vertical="center"/>
      <protection/>
    </xf>
    <xf numFmtId="10" fontId="19" fillId="34" borderId="10" xfId="49" applyNumberFormat="1" applyFont="1" applyFill="1" applyBorder="1" applyAlignment="1" applyProtection="1">
      <alignment vertical="center"/>
      <protection/>
    </xf>
    <xf numFmtId="10" fontId="19" fillId="0" borderId="0" xfId="49" applyNumberFormat="1" applyFont="1" applyFill="1" applyBorder="1" applyAlignment="1" applyProtection="1">
      <alignment vertical="center"/>
      <protection/>
    </xf>
    <xf numFmtId="10" fontId="18" fillId="0" borderId="10" xfId="49" applyNumberFormat="1" applyFont="1" applyFill="1" applyBorder="1" applyAlignment="1" applyProtection="1">
      <alignment vertical="center"/>
      <protection/>
    </xf>
    <xf numFmtId="10" fontId="18" fillId="34" borderId="10" xfId="49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8" fillId="0" borderId="10" xfId="6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Border="1" applyAlignment="1">
      <alignment/>
    </xf>
    <xf numFmtId="172" fontId="19" fillId="34" borderId="13" xfId="60" applyFont="1" applyFill="1" applyBorder="1" applyAlignment="1" applyProtection="1">
      <alignment horizontal="center" vertical="center"/>
      <protection/>
    </xf>
    <xf numFmtId="172" fontId="19" fillId="34" borderId="11" xfId="60" applyFont="1" applyFill="1" applyBorder="1" applyAlignment="1" applyProtection="1">
      <alignment horizontal="center" vertical="center"/>
      <protection/>
    </xf>
    <xf numFmtId="172" fontId="19" fillId="34" borderId="12" xfId="60" applyFont="1" applyFill="1" applyBorder="1" applyAlignment="1" applyProtection="1">
      <alignment horizontal="center" vertical="center"/>
      <protection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8" fillId="0" borderId="0" xfId="60" applyFont="1" applyFill="1" applyBorder="1" applyAlignment="1" applyProtection="1">
      <alignment vertical="center"/>
      <protection/>
    </xf>
    <xf numFmtId="172" fontId="19" fillId="34" borderId="10" xfId="6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0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17.421875" defaultRowHeight="12.75"/>
  <cols>
    <col min="1" max="1" width="22.421875" style="23" customWidth="1"/>
    <col min="2" max="19" width="11.00390625" style="23" customWidth="1"/>
    <col min="20" max="20" width="12.00390625" style="23" customWidth="1"/>
    <col min="21" max="22" width="8.8515625" style="23" hidden="1" customWidth="1"/>
    <col min="23" max="16384" width="17.421875" style="23" customWidth="1"/>
  </cols>
  <sheetData>
    <row r="2" spans="1:22" s="4" customFormat="1" ht="12.75" customHeight="1">
      <c r="A2" s="34" t="s">
        <v>0</v>
      </c>
      <c r="B2" s="29" t="s">
        <v>40</v>
      </c>
      <c r="C2" s="30"/>
      <c r="D2" s="30"/>
      <c r="E2" s="30"/>
      <c r="F2" s="30"/>
      <c r="G2" s="30"/>
      <c r="H2" s="30"/>
      <c r="I2" s="30"/>
      <c r="J2" s="30"/>
      <c r="K2" s="29" t="s">
        <v>40</v>
      </c>
      <c r="L2" s="30"/>
      <c r="M2" s="30"/>
      <c r="N2" s="30"/>
      <c r="O2" s="30"/>
      <c r="P2" s="30"/>
      <c r="Q2" s="30"/>
      <c r="R2" s="30"/>
      <c r="S2" s="30"/>
      <c r="T2" s="31"/>
      <c r="U2" s="3"/>
      <c r="V2" s="3"/>
    </row>
    <row r="3" spans="1:22" s="4" customFormat="1" ht="12.75" customHeight="1">
      <c r="A3" s="34"/>
      <c r="B3" s="5" t="s">
        <v>1</v>
      </c>
      <c r="C3" s="5" t="s">
        <v>2</v>
      </c>
      <c r="D3" s="32" t="s">
        <v>3</v>
      </c>
      <c r="E3" s="5" t="s">
        <v>4</v>
      </c>
      <c r="F3" s="5" t="s">
        <v>5</v>
      </c>
      <c r="G3" s="32" t="s">
        <v>6</v>
      </c>
      <c r="H3" s="5" t="s">
        <v>7</v>
      </c>
      <c r="I3" s="5" t="s">
        <v>8</v>
      </c>
      <c r="J3" s="32" t="s">
        <v>9</v>
      </c>
      <c r="K3" s="5" t="s">
        <v>10</v>
      </c>
      <c r="L3" s="5" t="s">
        <v>11</v>
      </c>
      <c r="M3" s="32" t="s">
        <v>12</v>
      </c>
      <c r="N3" s="5" t="s">
        <v>13</v>
      </c>
      <c r="O3" s="5" t="s">
        <v>14</v>
      </c>
      <c r="P3" s="32" t="s">
        <v>15</v>
      </c>
      <c r="Q3" s="5" t="s">
        <v>16</v>
      </c>
      <c r="R3" s="5" t="s">
        <v>17</v>
      </c>
      <c r="S3" s="32" t="s">
        <v>18</v>
      </c>
      <c r="T3" s="26" t="s">
        <v>19</v>
      </c>
      <c r="U3" s="24"/>
      <c r="V3" s="25"/>
    </row>
    <row r="4" spans="1:22" s="4" customFormat="1" ht="12.75" customHeight="1">
      <c r="A4" s="34"/>
      <c r="B4" s="6" t="s">
        <v>43</v>
      </c>
      <c r="C4" s="6" t="s">
        <v>43</v>
      </c>
      <c r="D4" s="32"/>
      <c r="E4" s="6" t="s">
        <v>43</v>
      </c>
      <c r="F4" s="6" t="s">
        <v>43</v>
      </c>
      <c r="G4" s="32"/>
      <c r="H4" s="6" t="s">
        <v>43</v>
      </c>
      <c r="I4" s="6" t="s">
        <v>43</v>
      </c>
      <c r="J4" s="32"/>
      <c r="K4" s="6" t="s">
        <v>20</v>
      </c>
      <c r="L4" s="6" t="s">
        <v>20</v>
      </c>
      <c r="M4" s="32"/>
      <c r="N4" s="6" t="s">
        <v>20</v>
      </c>
      <c r="O4" s="6" t="s">
        <v>20</v>
      </c>
      <c r="P4" s="32"/>
      <c r="Q4" s="6" t="s">
        <v>20</v>
      </c>
      <c r="R4" s="6" t="s">
        <v>20</v>
      </c>
      <c r="S4" s="32"/>
      <c r="T4" s="6" t="s">
        <v>20</v>
      </c>
      <c r="U4" s="6" t="s">
        <v>21</v>
      </c>
      <c r="V4" s="7" t="s">
        <v>22</v>
      </c>
    </row>
    <row r="5" spans="1:22" s="2" customFormat="1" ht="18" customHeight="1">
      <c r="A5" s="8" t="s">
        <v>23</v>
      </c>
      <c r="B5" s="8">
        <f aca="true" t="shared" si="0" ref="B5:S5">SUM(B6+B7+B8+B9+B10+B11+B12)</f>
        <v>89717522.13999999</v>
      </c>
      <c r="C5" s="8">
        <f t="shared" si="0"/>
        <v>52279479.65999999</v>
      </c>
      <c r="D5" s="9">
        <f t="shared" si="0"/>
        <v>141997001.79999998</v>
      </c>
      <c r="E5" s="8">
        <f t="shared" si="0"/>
        <v>55301991.78</v>
      </c>
      <c r="F5" s="8">
        <f t="shared" si="0"/>
        <v>47587076.64</v>
      </c>
      <c r="G5" s="10">
        <f t="shared" si="0"/>
        <v>102889068.42</v>
      </c>
      <c r="H5" s="8">
        <f t="shared" si="0"/>
        <v>42926868.760000005</v>
      </c>
      <c r="I5" s="8">
        <f t="shared" si="0"/>
        <v>51151001.870000005</v>
      </c>
      <c r="J5" s="10">
        <f t="shared" si="0"/>
        <v>94077870.63000001</v>
      </c>
      <c r="K5" s="8">
        <f t="shared" si="0"/>
        <v>50905295.29</v>
      </c>
      <c r="L5" s="8">
        <f t="shared" si="0"/>
        <v>43802521.17000001</v>
      </c>
      <c r="M5" s="10">
        <f t="shared" si="0"/>
        <v>94707816.46</v>
      </c>
      <c r="N5" s="8">
        <f t="shared" si="0"/>
        <v>43543665.129999995</v>
      </c>
      <c r="O5" s="8">
        <f t="shared" si="0"/>
        <v>47235977.620000005</v>
      </c>
      <c r="P5" s="10">
        <f t="shared" si="0"/>
        <v>90779642.75</v>
      </c>
      <c r="Q5" s="8">
        <f t="shared" si="0"/>
        <v>47492205.8</v>
      </c>
      <c r="R5" s="8">
        <f t="shared" si="0"/>
        <v>76866457.23</v>
      </c>
      <c r="S5" s="10">
        <f t="shared" si="0"/>
        <v>124358663.03</v>
      </c>
      <c r="T5" s="8">
        <f>SUM(T6+T7+T8+T9+T10+T11+T12)</f>
        <v>648810063.09</v>
      </c>
      <c r="U5" s="8">
        <f>SUM(U6:U12)</f>
        <v>1173261463.15</v>
      </c>
      <c r="V5" s="11">
        <f aca="true" t="shared" si="1" ref="V5:V20">U5-T5</f>
        <v>524451400.06000006</v>
      </c>
    </row>
    <row r="6" spans="1:22" s="1" customFormat="1" ht="24.75" customHeight="1">
      <c r="A6" s="27" t="s">
        <v>39</v>
      </c>
      <c r="B6" s="13">
        <f>46588499.14-38672.7-1129.53</f>
        <v>46548696.91</v>
      </c>
      <c r="C6" s="13">
        <f>15548413.62-21506.98-808.91</f>
        <v>15526097.729999999</v>
      </c>
      <c r="D6" s="9">
        <f>SUM(B6:C6)</f>
        <v>62074794.63999999</v>
      </c>
      <c r="E6" s="13">
        <f>17712789.98-28299.49-198.63</f>
        <v>17684291.860000003</v>
      </c>
      <c r="F6" s="13">
        <f>10787548.31-5433.85-231.09</f>
        <v>10781883.370000001</v>
      </c>
      <c r="G6" s="9">
        <f aca="true" t="shared" si="2" ref="G6:G12">SUM(E6:F6)</f>
        <v>28466175.230000004</v>
      </c>
      <c r="H6" s="13">
        <f>12069911.57-993.17-312.5</f>
        <v>12068605.9</v>
      </c>
      <c r="I6" s="13">
        <f>12939401.66-11795.91-388.04</f>
        <v>12927217.71</v>
      </c>
      <c r="J6" s="9">
        <f aca="true" t="shared" si="3" ref="J6:J12">SUM(H6:I6)</f>
        <v>24995823.61</v>
      </c>
      <c r="K6" s="13">
        <v>17880944.17</v>
      </c>
      <c r="L6" s="13">
        <v>15386030.65</v>
      </c>
      <c r="M6" s="9">
        <f aca="true" t="shared" si="4" ref="M6:M12">SUM(K6:L6)</f>
        <v>33266974.82</v>
      </c>
      <c r="N6" s="13">
        <v>15295105.16</v>
      </c>
      <c r="O6" s="13">
        <v>16592063.2</v>
      </c>
      <c r="P6" s="9">
        <f aca="true" t="shared" si="5" ref="P6:P12">SUM(N6:O6)</f>
        <v>31887168.36</v>
      </c>
      <c r="Q6" s="13">
        <v>16682065.68</v>
      </c>
      <c r="R6" s="13">
        <v>27000036.42</v>
      </c>
      <c r="S6" s="9">
        <f aca="true" t="shared" si="6" ref="S6:S11">SUM(Q6:R6)</f>
        <v>43682102.1</v>
      </c>
      <c r="T6" s="12">
        <f aca="true" t="shared" si="7" ref="T6:T12">D6+G6+J6+M6+P6+S6</f>
        <v>224373038.76000002</v>
      </c>
      <c r="U6" s="12">
        <f aca="true" t="shared" si="8" ref="U6:U20">SUM(B6:R6)</f>
        <v>405063975.42000014</v>
      </c>
      <c r="V6" s="14">
        <f t="shared" si="1"/>
        <v>180690936.66000012</v>
      </c>
    </row>
    <row r="7" spans="1:22" s="1" customFormat="1" ht="12.75" customHeight="1">
      <c r="A7" s="27" t="s">
        <v>42</v>
      </c>
      <c r="B7" s="13">
        <f>934135.8-63</f>
        <v>934072.8</v>
      </c>
      <c r="C7" s="13">
        <v>731940.94</v>
      </c>
      <c r="D7" s="9">
        <f aca="true" t="shared" si="9" ref="D7:D12">SUM(B7:C7)</f>
        <v>1666013.74</v>
      </c>
      <c r="E7" s="13">
        <v>764465.05</v>
      </c>
      <c r="F7" s="13">
        <v>695989.12</v>
      </c>
      <c r="G7" s="9">
        <f t="shared" si="2"/>
        <v>1460454.17</v>
      </c>
      <c r="H7" s="13">
        <v>718484.5</v>
      </c>
      <c r="I7" s="13">
        <v>794556.77</v>
      </c>
      <c r="J7" s="9">
        <f t="shared" si="3"/>
        <v>1513041.27</v>
      </c>
      <c r="K7" s="13">
        <v>763647.09</v>
      </c>
      <c r="L7" s="13">
        <v>657096.04</v>
      </c>
      <c r="M7" s="9">
        <f t="shared" si="4"/>
        <v>1420743.13</v>
      </c>
      <c r="N7" s="13">
        <v>653212.86</v>
      </c>
      <c r="O7" s="13">
        <v>708602.46</v>
      </c>
      <c r="P7" s="9">
        <f t="shared" si="5"/>
        <v>1361815.3199999998</v>
      </c>
      <c r="Q7" s="13">
        <v>712446.21</v>
      </c>
      <c r="R7" s="13">
        <v>1153099.04</v>
      </c>
      <c r="S7" s="9">
        <f t="shared" si="6"/>
        <v>1865545.25</v>
      </c>
      <c r="T7" s="12">
        <f t="shared" si="7"/>
        <v>9287612.879999999</v>
      </c>
      <c r="U7" s="12">
        <f t="shared" si="8"/>
        <v>16709680.509999998</v>
      </c>
      <c r="V7" s="14">
        <f t="shared" si="1"/>
        <v>7422067.629999999</v>
      </c>
    </row>
    <row r="8" spans="1:22" s="1" customFormat="1" ht="12.75" customHeight="1">
      <c r="A8" s="12" t="s">
        <v>25</v>
      </c>
      <c r="B8" s="13">
        <v>761174.63</v>
      </c>
      <c r="C8" s="13">
        <f>534560.44-10015.04</f>
        <v>524545.3999999999</v>
      </c>
      <c r="D8" s="9">
        <f t="shared" si="9"/>
        <v>1285720.0299999998</v>
      </c>
      <c r="E8" s="13">
        <v>707654.2</v>
      </c>
      <c r="F8" s="13">
        <v>552407.46</v>
      </c>
      <c r="G8" s="9">
        <f t="shared" si="2"/>
        <v>1260061.66</v>
      </c>
      <c r="H8" s="13">
        <v>497306.31</v>
      </c>
      <c r="I8" s="13">
        <f>409055.61-0.01</f>
        <v>409055.6</v>
      </c>
      <c r="J8" s="9">
        <f t="shared" si="3"/>
        <v>906361.9099999999</v>
      </c>
      <c r="K8" s="13">
        <v>667476.72</v>
      </c>
      <c r="L8" s="13">
        <v>574344.24</v>
      </c>
      <c r="M8" s="9">
        <f t="shared" si="4"/>
        <v>1241820.96</v>
      </c>
      <c r="N8" s="13">
        <v>570950.11</v>
      </c>
      <c r="O8" s="13">
        <v>619364.18</v>
      </c>
      <c r="P8" s="9">
        <f t="shared" si="5"/>
        <v>1190314.29</v>
      </c>
      <c r="Q8" s="13">
        <v>622723.88</v>
      </c>
      <c r="R8" s="13">
        <v>1007882.83</v>
      </c>
      <c r="S8" s="9">
        <f t="shared" si="6"/>
        <v>1630606.71</v>
      </c>
      <c r="T8" s="12">
        <f t="shared" si="7"/>
        <v>7514885.56</v>
      </c>
      <c r="U8" s="12">
        <f t="shared" si="8"/>
        <v>13399164.41</v>
      </c>
      <c r="V8" s="14">
        <f t="shared" si="1"/>
        <v>5884278.850000001</v>
      </c>
    </row>
    <row r="9" spans="1:22" s="1" customFormat="1" ht="18.75" customHeight="1" hidden="1">
      <c r="A9" s="12" t="s">
        <v>26</v>
      </c>
      <c r="B9" s="13">
        <v>0</v>
      </c>
      <c r="C9" s="13"/>
      <c r="D9" s="9">
        <f t="shared" si="9"/>
        <v>0</v>
      </c>
      <c r="E9" s="13"/>
      <c r="F9" s="13"/>
      <c r="G9" s="9">
        <f t="shared" si="2"/>
        <v>0</v>
      </c>
      <c r="H9" s="13"/>
      <c r="I9" s="13"/>
      <c r="J9" s="9">
        <f t="shared" si="3"/>
        <v>0</v>
      </c>
      <c r="K9" s="13"/>
      <c r="L9" s="13"/>
      <c r="M9" s="9">
        <f t="shared" si="4"/>
        <v>0</v>
      </c>
      <c r="N9" s="13"/>
      <c r="O9" s="13"/>
      <c r="P9" s="9">
        <f t="shared" si="5"/>
        <v>0</v>
      </c>
      <c r="Q9" s="13"/>
      <c r="R9" s="13"/>
      <c r="S9" s="9">
        <f t="shared" si="6"/>
        <v>0</v>
      </c>
      <c r="T9" s="12">
        <f t="shared" si="7"/>
        <v>0</v>
      </c>
      <c r="U9" s="12">
        <f t="shared" si="8"/>
        <v>0</v>
      </c>
      <c r="V9" s="14">
        <f t="shared" si="1"/>
        <v>0</v>
      </c>
    </row>
    <row r="10" spans="1:22" s="1" customFormat="1" ht="12.75" customHeight="1">
      <c r="A10" s="12" t="s">
        <v>27</v>
      </c>
      <c r="B10" s="13">
        <v>1181.24</v>
      </c>
      <c r="C10" s="13">
        <v>93361.32</v>
      </c>
      <c r="D10" s="9">
        <f t="shared" si="9"/>
        <v>94542.56000000001</v>
      </c>
      <c r="E10" s="13">
        <v>741156.1</v>
      </c>
      <c r="F10" s="13">
        <f>30.75-5110</f>
        <v>-5079.25</v>
      </c>
      <c r="G10" s="9">
        <f t="shared" si="2"/>
        <v>736076.85</v>
      </c>
      <c r="H10" s="13">
        <v>76.96</v>
      </c>
      <c r="I10" s="13">
        <f>739.5-110</f>
        <v>629.5</v>
      </c>
      <c r="J10" s="9">
        <f t="shared" si="3"/>
        <v>706.46</v>
      </c>
      <c r="K10" s="13">
        <v>30.99</v>
      </c>
      <c r="L10" s="13">
        <v>26.67</v>
      </c>
      <c r="M10" s="9">
        <f t="shared" si="4"/>
        <v>57.66</v>
      </c>
      <c r="N10" s="13">
        <v>26.51</v>
      </c>
      <c r="O10" s="13">
        <v>28.76</v>
      </c>
      <c r="P10" s="9">
        <f t="shared" si="5"/>
        <v>55.27</v>
      </c>
      <c r="Q10" s="13">
        <v>28.91</v>
      </c>
      <c r="R10" s="13">
        <v>46.8</v>
      </c>
      <c r="S10" s="9">
        <f>SUM(Q10:R10)</f>
        <v>75.71</v>
      </c>
      <c r="T10" s="12">
        <f>D10+G10+J10+M10+P10+S10</f>
        <v>831514.51</v>
      </c>
      <c r="U10" s="12">
        <f t="shared" si="8"/>
        <v>1662953.3099999996</v>
      </c>
      <c r="V10" s="14">
        <f t="shared" si="1"/>
        <v>831438.7999999996</v>
      </c>
    </row>
    <row r="11" spans="1:22" s="1" customFormat="1" ht="12.75" customHeight="1">
      <c r="A11" s="12" t="s">
        <v>28</v>
      </c>
      <c r="B11" s="13">
        <v>41017658.15</v>
      </c>
      <c r="C11" s="13">
        <v>34876326.48</v>
      </c>
      <c r="D11" s="9">
        <f t="shared" si="9"/>
        <v>75893984.63</v>
      </c>
      <c r="E11" s="13">
        <v>34944063.82</v>
      </c>
      <c r="F11" s="13">
        <v>35106532.03</v>
      </c>
      <c r="G11" s="9">
        <f t="shared" si="2"/>
        <v>70050595.85</v>
      </c>
      <c r="H11" s="13">
        <v>29014909.73</v>
      </c>
      <c r="I11" s="13">
        <f>36673433.34</f>
        <v>36673433.34</v>
      </c>
      <c r="J11" s="9">
        <f t="shared" si="3"/>
        <v>65688343.07000001</v>
      </c>
      <c r="K11" s="13">
        <v>31150890.34</v>
      </c>
      <c r="L11" s="13">
        <v>26804432.19</v>
      </c>
      <c r="M11" s="9">
        <f t="shared" si="4"/>
        <v>57955322.53</v>
      </c>
      <c r="N11" s="13">
        <v>26646028.24</v>
      </c>
      <c r="O11" s="13">
        <v>28905495.02</v>
      </c>
      <c r="P11" s="9">
        <f t="shared" si="5"/>
        <v>55551523.26</v>
      </c>
      <c r="Q11" s="13">
        <v>29062290.76</v>
      </c>
      <c r="R11" s="13">
        <v>47037514.78</v>
      </c>
      <c r="S11" s="9">
        <f t="shared" si="6"/>
        <v>76099805.54</v>
      </c>
      <c r="T11" s="12">
        <f t="shared" si="7"/>
        <v>401239574.88000005</v>
      </c>
      <c r="U11" s="12">
        <f t="shared" si="8"/>
        <v>726379344.2199999</v>
      </c>
      <c r="V11" s="14">
        <f t="shared" si="1"/>
        <v>325139769.33999985</v>
      </c>
    </row>
    <row r="12" spans="1:22" s="1" customFormat="1" ht="12.75" customHeight="1">
      <c r="A12" s="12" t="s">
        <v>29</v>
      </c>
      <c r="B12" s="13">
        <f>454838.25-99.84</f>
        <v>454738.41</v>
      </c>
      <c r="C12" s="13">
        <f>527211.95-4.16</f>
        <v>527207.7899999999</v>
      </c>
      <c r="D12" s="9">
        <f t="shared" si="9"/>
        <v>981946.2</v>
      </c>
      <c r="E12" s="13">
        <v>460360.75</v>
      </c>
      <c r="F12" s="13">
        <f>459671.75-4327.84</f>
        <v>455343.91</v>
      </c>
      <c r="G12" s="9">
        <f t="shared" si="2"/>
        <v>915704.6599999999</v>
      </c>
      <c r="H12" s="13">
        <f>627651.17-165.81</f>
        <v>627485.36</v>
      </c>
      <c r="I12" s="13">
        <f>346612.37-503.42</f>
        <v>346108.95</v>
      </c>
      <c r="J12" s="9">
        <f t="shared" si="3"/>
        <v>973594.31</v>
      </c>
      <c r="K12" s="13">
        <v>442305.98</v>
      </c>
      <c r="L12" s="13">
        <v>380591.38</v>
      </c>
      <c r="M12" s="9">
        <f t="shared" si="4"/>
        <v>822897.36</v>
      </c>
      <c r="N12" s="13">
        <v>378342.25</v>
      </c>
      <c r="O12" s="13">
        <v>410424</v>
      </c>
      <c r="P12" s="9">
        <f t="shared" si="5"/>
        <v>788766.25</v>
      </c>
      <c r="Q12" s="13">
        <v>412650.36</v>
      </c>
      <c r="R12" s="13">
        <v>667877.36</v>
      </c>
      <c r="S12" s="9">
        <f>SUM(Q12:R12)</f>
        <v>1080527.72</v>
      </c>
      <c r="T12" s="12">
        <f t="shared" si="7"/>
        <v>5563436.499999999</v>
      </c>
      <c r="U12" s="12">
        <f t="shared" si="8"/>
        <v>10046345.28</v>
      </c>
      <c r="V12" s="14">
        <f t="shared" si="1"/>
        <v>4482908.78</v>
      </c>
    </row>
    <row r="13" spans="1:22" s="1" customFormat="1" ht="12.75" customHeight="1">
      <c r="A13" s="8" t="s">
        <v>30</v>
      </c>
      <c r="B13" s="8">
        <f aca="true" t="shared" si="10" ref="B13:S13">B15+B16+B14+B17</f>
        <v>4672299.84</v>
      </c>
      <c r="C13" s="8">
        <f>C15+C16+C14+C17+C18</f>
        <v>4564258.22</v>
      </c>
      <c r="D13" s="10">
        <f t="shared" si="10"/>
        <v>9236558.06</v>
      </c>
      <c r="E13" s="8">
        <f>E15+E16+E14+E17</f>
        <v>4857105.49</v>
      </c>
      <c r="F13" s="8">
        <f aca="true" t="shared" si="11" ref="F13:L13">F15+F16+F14+F17+F18</f>
        <v>11243207.030000001</v>
      </c>
      <c r="G13" s="10">
        <f t="shared" si="11"/>
        <v>16100312.52</v>
      </c>
      <c r="H13" s="8">
        <f t="shared" si="11"/>
        <v>370843.3</v>
      </c>
      <c r="I13" s="8">
        <f t="shared" si="11"/>
        <v>537678.62</v>
      </c>
      <c r="J13" s="10">
        <f>J15+J16+J14+J17+J18</f>
        <v>908521.9199999999</v>
      </c>
      <c r="K13" s="8">
        <f t="shared" si="11"/>
        <v>6817973.409999999</v>
      </c>
      <c r="L13" s="8">
        <f t="shared" si="11"/>
        <v>5866667.15</v>
      </c>
      <c r="M13" s="10">
        <f t="shared" si="10"/>
        <v>12684640.56</v>
      </c>
      <c r="N13" s="8">
        <f t="shared" si="10"/>
        <v>5831997.39</v>
      </c>
      <c r="O13" s="8">
        <f t="shared" si="10"/>
        <v>6326525.29</v>
      </c>
      <c r="P13" s="10">
        <f t="shared" si="10"/>
        <v>12158522.68</v>
      </c>
      <c r="Q13" s="8">
        <f t="shared" si="10"/>
        <v>6360843.01</v>
      </c>
      <c r="R13" s="8">
        <f t="shared" si="10"/>
        <v>10295067.66</v>
      </c>
      <c r="S13" s="10">
        <f t="shared" si="10"/>
        <v>16655910.67</v>
      </c>
      <c r="T13" s="8">
        <f>T15+T16+T14+T17+T18</f>
        <v>67744466.41</v>
      </c>
      <c r="U13" s="8">
        <f t="shared" si="8"/>
        <v>118833022.14999999</v>
      </c>
      <c r="V13" s="11">
        <f t="shared" si="1"/>
        <v>51088555.739999995</v>
      </c>
    </row>
    <row r="14" spans="1:22" s="1" customFormat="1" ht="12.75" customHeight="1">
      <c r="A14" s="12" t="s">
        <v>31</v>
      </c>
      <c r="B14" s="12">
        <v>0</v>
      </c>
      <c r="C14" s="14">
        <v>0</v>
      </c>
      <c r="D14" s="9">
        <f aca="true" t="shared" si="12" ref="D14:D20">SUM(B14:C14)</f>
        <v>0</v>
      </c>
      <c r="E14" s="12">
        <v>0</v>
      </c>
      <c r="F14" s="12">
        <v>6642219.4</v>
      </c>
      <c r="G14" s="9">
        <f aca="true" t="shared" si="13" ref="G14:G20">SUM(E14:F14)</f>
        <v>6642219.4</v>
      </c>
      <c r="H14" s="12">
        <v>119059.84</v>
      </c>
      <c r="I14" s="12">
        <v>0</v>
      </c>
      <c r="J14" s="9">
        <f aca="true" t="shared" si="14" ref="J14:J20">SUM(H14:I14)</f>
        <v>119059.84</v>
      </c>
      <c r="K14" s="12">
        <f>712834.4+159417.85+429250.28+90640.21</f>
        <v>1392142.74</v>
      </c>
      <c r="L14" s="12">
        <f>613373.2+137174.4+369357.34+77993.25</f>
        <v>1197898.19</v>
      </c>
      <c r="M14" s="9">
        <f aca="true" t="shared" si="15" ref="M14:M20">SUM(K14:L14)</f>
        <v>2590040.9299999997</v>
      </c>
      <c r="N14" s="12">
        <f>609748.4+136363.76+367174.58+77532.34</f>
        <v>1190819.08</v>
      </c>
      <c r="O14" s="12">
        <f>661452.4+147926.81+398309.38+84106.75</f>
        <v>1291795.3399999999</v>
      </c>
      <c r="P14" s="9">
        <f aca="true" t="shared" si="16" ref="P14:P20">SUM(N14:O14)</f>
        <v>2482614.42</v>
      </c>
      <c r="Q14" s="12">
        <f>665040.4+148729.22+400469.98+84562.98</f>
        <v>1298802.58</v>
      </c>
      <c r="R14" s="12">
        <f>1076372.4+240719.26+648163.38+136865.75</f>
        <v>2102120.79</v>
      </c>
      <c r="S14" s="9">
        <f aca="true" t="shared" si="17" ref="S14:S21">SUM(Q14:R14)</f>
        <v>3400923.37</v>
      </c>
      <c r="T14" s="12">
        <f aca="true" t="shared" si="18" ref="T14:T20">D14+G14+J14+M14+P14+S14</f>
        <v>15234857.96</v>
      </c>
      <c r="U14" s="12">
        <f t="shared" si="8"/>
        <v>27068792.549999997</v>
      </c>
      <c r="V14" s="14">
        <f t="shared" si="1"/>
        <v>11833934.589999996</v>
      </c>
    </row>
    <row r="15" spans="1:22" s="1" customFormat="1" ht="12.75" customHeight="1">
      <c r="A15" s="12" t="s">
        <v>32</v>
      </c>
      <c r="B15" s="12">
        <v>4584.93</v>
      </c>
      <c r="C15" s="14">
        <v>64141.66</v>
      </c>
      <c r="D15" s="9">
        <f t="shared" si="12"/>
        <v>68726.59</v>
      </c>
      <c r="E15" s="12">
        <v>7051.93</v>
      </c>
      <c r="F15" s="12">
        <v>2317.4</v>
      </c>
      <c r="G15" s="9">
        <f t="shared" si="13"/>
        <v>9369.33</v>
      </c>
      <c r="H15" s="12">
        <v>4014.39</v>
      </c>
      <c r="I15" s="12">
        <f>101058.22-98385.96</f>
        <v>2672.2599999999948</v>
      </c>
      <c r="J15" s="9">
        <f t="shared" si="14"/>
        <v>6686.649999999994</v>
      </c>
      <c r="K15" s="12">
        <v>1065067.57</v>
      </c>
      <c r="L15" s="12">
        <v>916459.57</v>
      </c>
      <c r="M15" s="9">
        <f t="shared" si="15"/>
        <v>1981527.1400000001</v>
      </c>
      <c r="N15" s="12">
        <v>911043.64</v>
      </c>
      <c r="O15" s="12">
        <v>988296.16</v>
      </c>
      <c r="P15" s="9">
        <f t="shared" si="16"/>
        <v>1899339.8</v>
      </c>
      <c r="Q15" s="12">
        <v>993657.1</v>
      </c>
      <c r="R15" s="12">
        <v>1608240.76</v>
      </c>
      <c r="S15" s="9">
        <f t="shared" si="17"/>
        <v>2601897.86</v>
      </c>
      <c r="T15" s="12">
        <f t="shared" si="18"/>
        <v>6567547.37</v>
      </c>
      <c r="U15" s="12">
        <f t="shared" si="8"/>
        <v>10533196.879999999</v>
      </c>
      <c r="V15" s="14">
        <f t="shared" si="1"/>
        <v>3965649.509999999</v>
      </c>
    </row>
    <row r="16" spans="1:22" s="1" customFormat="1" ht="12.75" customHeight="1">
      <c r="A16" s="12" t="s">
        <v>33</v>
      </c>
      <c r="B16" s="12">
        <v>10034.91</v>
      </c>
      <c r="C16" s="12">
        <v>116.56</v>
      </c>
      <c r="D16" s="9">
        <f t="shared" si="12"/>
        <v>10151.47</v>
      </c>
      <c r="E16" s="12">
        <v>116.56</v>
      </c>
      <c r="F16" s="12">
        <v>50.23</v>
      </c>
      <c r="G16" s="9">
        <f t="shared" si="13"/>
        <v>166.79</v>
      </c>
      <c r="H16" s="12">
        <v>50.23</v>
      </c>
      <c r="I16" s="12">
        <v>7403.23</v>
      </c>
      <c r="J16" s="9">
        <f t="shared" si="14"/>
        <v>7453.459999999999</v>
      </c>
      <c r="K16" s="12">
        <f>1193.22+69.73</f>
        <v>1262.95</v>
      </c>
      <c r="L16" s="12">
        <f>1026.73+60</f>
        <v>1086.73</v>
      </c>
      <c r="M16" s="9">
        <f t="shared" si="15"/>
        <v>2349.6800000000003</v>
      </c>
      <c r="N16" s="12">
        <f>1020.67+59.65</f>
        <v>1080.32</v>
      </c>
      <c r="O16" s="12">
        <f>1107.21+64.71</f>
        <v>1171.92</v>
      </c>
      <c r="P16" s="9">
        <f t="shared" si="16"/>
        <v>2252.24</v>
      </c>
      <c r="Q16" s="12">
        <f>1113.22+65.06</f>
        <v>1178.28</v>
      </c>
      <c r="R16" s="12">
        <f>1801.75+105.3</f>
        <v>1907.05</v>
      </c>
      <c r="S16" s="9">
        <f t="shared" si="17"/>
        <v>3085.33</v>
      </c>
      <c r="T16" s="12">
        <f t="shared" si="18"/>
        <v>25458.97</v>
      </c>
      <c r="U16" s="12">
        <f t="shared" si="8"/>
        <v>47832.61</v>
      </c>
      <c r="V16" s="14">
        <f t="shared" si="1"/>
        <v>22373.64</v>
      </c>
    </row>
    <row r="17" spans="1:22" s="1" customFormat="1" ht="12.75" customHeight="1">
      <c r="A17" s="12" t="s">
        <v>34</v>
      </c>
      <c r="B17" s="12">
        <v>4657680</v>
      </c>
      <c r="C17" s="12">
        <v>4500000</v>
      </c>
      <c r="D17" s="9">
        <f t="shared" si="12"/>
        <v>9157680</v>
      </c>
      <c r="E17" s="12">
        <v>4849937</v>
      </c>
      <c r="F17" s="12">
        <v>4598620</v>
      </c>
      <c r="G17" s="9">
        <f t="shared" si="13"/>
        <v>9448557</v>
      </c>
      <c r="H17" s="12">
        <v>247718.84</v>
      </c>
      <c r="I17" s="12">
        <v>527603.13</v>
      </c>
      <c r="J17" s="9">
        <f t="shared" si="14"/>
        <v>775321.97</v>
      </c>
      <c r="K17" s="12">
        <f>6817973.41-K14-K15-K16</f>
        <v>4359500.149999999</v>
      </c>
      <c r="L17" s="12">
        <f>5866667.15-L14-L15-L16</f>
        <v>3751222.660000001</v>
      </c>
      <c r="M17" s="9">
        <f t="shared" si="15"/>
        <v>8110722.8100000005</v>
      </c>
      <c r="N17" s="12">
        <f>5831997.39-N14-N15-N16</f>
        <v>3729054.3499999996</v>
      </c>
      <c r="O17" s="12">
        <f>6326525.29-O14-O15-O16</f>
        <v>4045261.87</v>
      </c>
      <c r="P17" s="9">
        <f t="shared" si="16"/>
        <v>7774316.22</v>
      </c>
      <c r="Q17" s="12">
        <f>6360843.01-Q14-Q15-Q16</f>
        <v>4067205.05</v>
      </c>
      <c r="R17" s="12">
        <f>10295067.66-R14-R15-R16</f>
        <v>6582799.0600000005</v>
      </c>
      <c r="S17" s="9">
        <f t="shared" si="17"/>
        <v>10650004.11</v>
      </c>
      <c r="T17" s="12">
        <f>D17+G17+J17+M17+P17+S17</f>
        <v>45916602.11</v>
      </c>
      <c r="U17" s="12">
        <f t="shared" si="8"/>
        <v>81183200.11000001</v>
      </c>
      <c r="V17" s="14">
        <f t="shared" si="1"/>
        <v>35266598.000000015</v>
      </c>
    </row>
    <row r="18" spans="1:22" s="1" customFormat="1" ht="18.75" customHeight="1" hidden="1">
      <c r="A18" s="12" t="s">
        <v>38</v>
      </c>
      <c r="B18" s="12">
        <v>0</v>
      </c>
      <c r="C18" s="12">
        <v>0</v>
      </c>
      <c r="D18" s="9">
        <f t="shared" si="12"/>
        <v>0</v>
      </c>
      <c r="E18" s="12">
        <v>0</v>
      </c>
      <c r="F18" s="12">
        <v>0</v>
      </c>
      <c r="G18" s="9">
        <f t="shared" si="13"/>
        <v>0</v>
      </c>
      <c r="H18" s="12">
        <v>0</v>
      </c>
      <c r="I18" s="12">
        <v>0</v>
      </c>
      <c r="J18" s="9">
        <f t="shared" si="14"/>
        <v>0</v>
      </c>
      <c r="K18" s="12">
        <v>0</v>
      </c>
      <c r="L18" s="12">
        <v>0</v>
      </c>
      <c r="M18" s="9">
        <f t="shared" si="15"/>
        <v>0</v>
      </c>
      <c r="N18" s="12">
        <v>0</v>
      </c>
      <c r="O18" s="12">
        <v>0</v>
      </c>
      <c r="P18" s="9">
        <f t="shared" si="16"/>
        <v>0</v>
      </c>
      <c r="Q18" s="12">
        <v>0</v>
      </c>
      <c r="R18" s="12">
        <v>0</v>
      </c>
      <c r="S18" s="9">
        <f t="shared" si="17"/>
        <v>0</v>
      </c>
      <c r="T18" s="12">
        <f>D18+G18+J18+M18+P18+S18</f>
        <v>0</v>
      </c>
      <c r="U18" s="12"/>
      <c r="V18" s="14"/>
    </row>
    <row r="19" spans="1:22" s="1" customFormat="1" ht="12.75" customHeight="1">
      <c r="A19" s="12" t="s">
        <v>36</v>
      </c>
      <c r="B19" s="12">
        <v>4998017.88</v>
      </c>
      <c r="C19" s="12">
        <v>4271428.82</v>
      </c>
      <c r="D19" s="9">
        <f t="shared" si="12"/>
        <v>9269446.7</v>
      </c>
      <c r="E19" s="12">
        <v>3946758.02</v>
      </c>
      <c r="F19" s="12">
        <v>4149156.89</v>
      </c>
      <c r="G19" s="9">
        <f t="shared" si="13"/>
        <v>8095914.91</v>
      </c>
      <c r="H19" s="12">
        <v>3125908.33</v>
      </c>
      <c r="I19" s="12">
        <v>2940401.66</v>
      </c>
      <c r="J19" s="9">
        <f t="shared" si="14"/>
        <v>6066309.99</v>
      </c>
      <c r="K19" s="12">
        <f>1142162.16+15837.32+1696235.94+821774.09+24484.31</f>
        <v>3700493.82</v>
      </c>
      <c r="L19" s="12">
        <f>982797.21+13627.55+1459561.53+707112.63+21068.04</f>
        <v>3184166.96</v>
      </c>
      <c r="M19" s="9">
        <f t="shared" si="15"/>
        <v>6884660.779999999</v>
      </c>
      <c r="N19" s="12">
        <f>976989.26+13547.02+1450936.08+702933.86+20943.53</f>
        <v>3165349.75</v>
      </c>
      <c r="O19" s="12">
        <f>1059833.68+14695.75+1573969.12+762539.58+22719.45</f>
        <v>3433757.58</v>
      </c>
      <c r="P19" s="9">
        <f t="shared" si="16"/>
        <v>6599107.33</v>
      </c>
      <c r="Q19" s="12">
        <f>1065582.67+14775.46+1582507+766675.92+22842.69</f>
        <v>3452383.7399999998</v>
      </c>
      <c r="R19" s="12">
        <f>1724652.78+23914.19+2561298.32+1240870.18+36971.05</f>
        <v>5587706.52</v>
      </c>
      <c r="S19" s="9">
        <f t="shared" si="17"/>
        <v>9040090.26</v>
      </c>
      <c r="T19" s="12">
        <f t="shared" si="18"/>
        <v>45955529.97</v>
      </c>
      <c r="U19" s="12">
        <f t="shared" si="8"/>
        <v>82870969.67999999</v>
      </c>
      <c r="V19" s="14">
        <f t="shared" si="1"/>
        <v>36915439.70999999</v>
      </c>
    </row>
    <row r="20" spans="1:22" s="1" customFormat="1" ht="12.75" customHeight="1">
      <c r="A20" s="12" t="s">
        <v>37</v>
      </c>
      <c r="B20" s="12">
        <f>598648.88+1977946.86</f>
        <v>2576595.74</v>
      </c>
      <c r="C20" s="12">
        <f>-5235.84+54971.32</f>
        <v>49735.479999999996</v>
      </c>
      <c r="D20" s="9">
        <f t="shared" si="12"/>
        <v>2626331.22</v>
      </c>
      <c r="E20" s="12">
        <v>46989.73</v>
      </c>
      <c r="F20" s="12">
        <f>12352.15</f>
        <v>12352.15</v>
      </c>
      <c r="G20" s="9">
        <f t="shared" si="13"/>
        <v>59341.880000000005</v>
      </c>
      <c r="H20" s="12">
        <v>30333.5</v>
      </c>
      <c r="I20" s="12">
        <v>27265.69</v>
      </c>
      <c r="J20" s="9">
        <f t="shared" si="14"/>
        <v>57599.19</v>
      </c>
      <c r="K20" s="12">
        <f>4762617.09-K19</f>
        <v>1062123.27</v>
      </c>
      <c r="L20" s="12">
        <f>4098093.03-L19</f>
        <v>913926.0699999998</v>
      </c>
      <c r="M20" s="9">
        <f t="shared" si="15"/>
        <v>1976049.3399999999</v>
      </c>
      <c r="N20" s="12">
        <f>4073874.87-N19</f>
        <v>908525.1200000001</v>
      </c>
      <c r="O20" s="12">
        <f>4419321.67-O19</f>
        <v>985564.0899999999</v>
      </c>
      <c r="P20" s="9">
        <f t="shared" si="16"/>
        <v>1894089.21</v>
      </c>
      <c r="Q20" s="12">
        <f>4443293.92-Q19</f>
        <v>990910.1800000002</v>
      </c>
      <c r="R20" s="12">
        <f>7191501.4-R19</f>
        <v>1603794.8800000008</v>
      </c>
      <c r="S20" s="9">
        <f t="shared" si="17"/>
        <v>2594705.060000001</v>
      </c>
      <c r="T20" s="12">
        <f t="shared" si="18"/>
        <v>9208115.9</v>
      </c>
      <c r="U20" s="12">
        <f t="shared" si="8"/>
        <v>15821526.740000004</v>
      </c>
      <c r="V20" s="14">
        <f t="shared" si="1"/>
        <v>6613410.840000004</v>
      </c>
    </row>
    <row r="21" spans="1:24" s="2" customFormat="1" ht="12.75" customHeight="1">
      <c r="A21" s="8" t="s">
        <v>19</v>
      </c>
      <c r="B21" s="8">
        <f>B5+B13-B19-B20</f>
        <v>86815208.36</v>
      </c>
      <c r="C21" s="8">
        <f>C5+C13-C19-C20</f>
        <v>52522573.57999999</v>
      </c>
      <c r="D21" s="10">
        <f>D5+D13-D19-D20</f>
        <v>139337781.94</v>
      </c>
      <c r="E21" s="8">
        <f>E5+E13-E19-E20</f>
        <v>56165349.52</v>
      </c>
      <c r="F21" s="8">
        <f>F5+F13-F19-F20</f>
        <v>54668774.63</v>
      </c>
      <c r="G21" s="10">
        <f>SUM(E21:F21)</f>
        <v>110834124.15</v>
      </c>
      <c r="H21" s="8">
        <f>H5+H13-H19-H20</f>
        <v>40141470.230000004</v>
      </c>
      <c r="I21" s="8">
        <f>I5+I13-I19-I20</f>
        <v>48721013.14</v>
      </c>
      <c r="J21" s="10">
        <f>SUM(H21:I21)</f>
        <v>88862483.37</v>
      </c>
      <c r="K21" s="8">
        <f>K5+K13-K19-K20</f>
        <v>52960651.60999999</v>
      </c>
      <c r="L21" s="8">
        <f>L5+L13-L19-L20</f>
        <v>45571095.29000001</v>
      </c>
      <c r="M21" s="10">
        <f>SUM(K21:L21)</f>
        <v>98531746.9</v>
      </c>
      <c r="N21" s="8">
        <f>N5+N13-N19-N20</f>
        <v>45301787.65</v>
      </c>
      <c r="O21" s="8">
        <f>O5+O13-O19-O20</f>
        <v>49143181.24000001</v>
      </c>
      <c r="P21" s="10">
        <f>SUM(N21:O21)</f>
        <v>94444968.89000002</v>
      </c>
      <c r="Q21" s="8">
        <f>Q5+Q13-Q19-Q20</f>
        <v>49409754.88999999</v>
      </c>
      <c r="R21" s="8">
        <f>R5+R13-R19-R20</f>
        <v>79970023.49000001</v>
      </c>
      <c r="S21" s="10">
        <f t="shared" si="17"/>
        <v>129379778.38</v>
      </c>
      <c r="T21" s="8">
        <f>T5+T13-T19-T20</f>
        <v>661390883.63</v>
      </c>
      <c r="U21" s="8">
        <f>SUM(B21:R21)</f>
        <v>1193401988.8799999</v>
      </c>
      <c r="V21" s="11">
        <f>U21-T21</f>
        <v>532011105.2499999</v>
      </c>
      <c r="W21" s="1"/>
      <c r="X21" s="1"/>
    </row>
    <row r="22" spans="1:20" s="15" customFormat="1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2" s="4" customFormat="1" ht="12.75" customHeight="1">
      <c r="A23" s="34" t="s">
        <v>0</v>
      </c>
      <c r="B23" s="29" t="s">
        <v>41</v>
      </c>
      <c r="C23" s="30"/>
      <c r="D23" s="30"/>
      <c r="E23" s="30"/>
      <c r="F23" s="30"/>
      <c r="G23" s="30"/>
      <c r="H23" s="30"/>
      <c r="I23" s="30"/>
      <c r="J23" s="30"/>
      <c r="K23" s="29" t="s">
        <v>41</v>
      </c>
      <c r="L23" s="30"/>
      <c r="M23" s="30"/>
      <c r="N23" s="30"/>
      <c r="O23" s="30"/>
      <c r="P23" s="30"/>
      <c r="Q23" s="30"/>
      <c r="R23" s="30"/>
      <c r="S23" s="30"/>
      <c r="T23" s="31"/>
      <c r="U23" s="3"/>
      <c r="V23" s="3"/>
    </row>
    <row r="24" spans="1:22" s="4" customFormat="1" ht="23.25" customHeight="1">
      <c r="A24" s="34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11</v>
      </c>
      <c r="M24" s="5" t="s">
        <v>12</v>
      </c>
      <c r="N24" s="5" t="s">
        <v>13</v>
      </c>
      <c r="O24" s="5" t="s">
        <v>14</v>
      </c>
      <c r="P24" s="5" t="s">
        <v>15</v>
      </c>
      <c r="Q24" s="5" t="s">
        <v>16</v>
      </c>
      <c r="R24" s="5" t="s">
        <v>17</v>
      </c>
      <c r="S24" s="5" t="s">
        <v>18</v>
      </c>
      <c r="T24" s="26" t="s">
        <v>19</v>
      </c>
      <c r="U24" s="24"/>
      <c r="V24" s="25"/>
    </row>
    <row r="25" spans="1:22" s="18" customFormat="1" ht="12.75" customHeight="1">
      <c r="A25" s="16" t="s">
        <v>23</v>
      </c>
      <c r="B25" s="16">
        <f>B5/$T$5</f>
        <v>0.13828010267398513</v>
      </c>
      <c r="C25" s="16">
        <f>C5/$T$5</f>
        <v>0.08057747965716743</v>
      </c>
      <c r="D25" s="17">
        <f aca="true" t="shared" si="19" ref="D25:D36">SUM(B25:C25)</f>
        <v>0.21885758233115254</v>
      </c>
      <c r="E25" s="16">
        <f>E5/$T$5</f>
        <v>0.08523602657551375</v>
      </c>
      <c r="F25" s="16">
        <f>F5/$T$5</f>
        <v>0.07334515807810295</v>
      </c>
      <c r="G25" s="17">
        <f aca="true" t="shared" si="20" ref="G25:G36">SUM(E25:F25)</f>
        <v>0.1585811846536167</v>
      </c>
      <c r="H25" s="16">
        <f>H5/$T$5</f>
        <v>0.06616245832494953</v>
      </c>
      <c r="I25" s="16">
        <f>I5/$T$5</f>
        <v>0.07883817588523526</v>
      </c>
      <c r="J25" s="17">
        <f aca="true" t="shared" si="21" ref="J25:J36">SUM(H25:I25)</f>
        <v>0.14500063421018478</v>
      </c>
      <c r="K25" s="16">
        <f>K5/$T$5</f>
        <v>0.07845947248037465</v>
      </c>
      <c r="L25" s="16">
        <f>L5/$T$5</f>
        <v>0.06751208660572812</v>
      </c>
      <c r="M25" s="17">
        <f aca="true" t="shared" si="22" ref="M25:M36">SUM(K25:L25)</f>
        <v>0.14597155908610276</v>
      </c>
      <c r="N25" s="16">
        <f>N5/$T$5</f>
        <v>0.06711311616009848</v>
      </c>
      <c r="O25" s="16">
        <f>O5/$T$5</f>
        <v>0.07280401508422295</v>
      </c>
      <c r="P25" s="17">
        <f aca="true" t="shared" si="23" ref="P25:P36">SUM(N25:O25)</f>
        <v>0.13991713124432142</v>
      </c>
      <c r="Q25" s="16">
        <f>Q5/$T$5</f>
        <v>0.07319893525358606</v>
      </c>
      <c r="R25" s="16">
        <f>R5/$T$5</f>
        <v>0.11847297322103562</v>
      </c>
      <c r="S25" s="17">
        <f aca="true" t="shared" si="24" ref="S25:S36">SUM(Q25:R25)</f>
        <v>0.19167190847462168</v>
      </c>
      <c r="T25" s="16">
        <f aca="true" t="shared" si="25" ref="T25:T36">SUM(B25+C25+E25+F25+H25+I25+K25+L25+N25+O25+Q25+R25)</f>
        <v>1</v>
      </c>
      <c r="U25" s="16">
        <f aca="true" t="shared" si="26" ref="U25:U36">SUM(B25:R25)</f>
        <v>1.808328091525378</v>
      </c>
      <c r="V25" s="16">
        <f aca="true" t="shared" si="27" ref="V25:V36">U25-T25</f>
        <v>0.8083280915253781</v>
      </c>
    </row>
    <row r="26" spans="1:23" s="22" customFormat="1" ht="24.75" customHeight="1">
      <c r="A26" s="27" t="s">
        <v>39</v>
      </c>
      <c r="B26" s="19">
        <f>B6/$T$6</f>
        <v>0.20746118681304965</v>
      </c>
      <c r="C26" s="19">
        <f>C6/$T$6</f>
        <v>0.06919769779740535</v>
      </c>
      <c r="D26" s="20">
        <f t="shared" si="19"/>
        <v>0.276658884610455</v>
      </c>
      <c r="E26" s="19">
        <f>E6/$T$6</f>
        <v>0.07881647437558643</v>
      </c>
      <c r="F26" s="19">
        <f>F6/$T$6</f>
        <v>0.0480533821246358</v>
      </c>
      <c r="G26" s="20">
        <f t="shared" si="20"/>
        <v>0.12686985650022223</v>
      </c>
      <c r="H26" s="19">
        <f>H6/$T$6</f>
        <v>0.0537881287640319</v>
      </c>
      <c r="I26" s="19">
        <f>I6/$T$6</f>
        <v>0.057614844374539856</v>
      </c>
      <c r="J26" s="20">
        <f t="shared" si="21"/>
        <v>0.11140297313857175</v>
      </c>
      <c r="K26" s="19">
        <f>K6/$T$6</f>
        <v>0.07969292687222684</v>
      </c>
      <c r="L26" s="19">
        <f>L6/$T$6</f>
        <v>0.06857343794526767</v>
      </c>
      <c r="M26" s="20">
        <f t="shared" si="22"/>
        <v>0.1482663648174945</v>
      </c>
      <c r="N26" s="19">
        <f>N6/$T$6</f>
        <v>0.0681681954504363</v>
      </c>
      <c r="O26" s="19">
        <f>O6/$T$6</f>
        <v>0.07394856036044353</v>
      </c>
      <c r="P26" s="20">
        <f t="shared" si="23"/>
        <v>0.14211675581087985</v>
      </c>
      <c r="Q26" s="19">
        <f>Q6/$T$6</f>
        <v>0.0743496891257239</v>
      </c>
      <c r="R26" s="19">
        <f>R6/$T$6</f>
        <v>0.12033547599665267</v>
      </c>
      <c r="S26" s="20">
        <f t="shared" si="24"/>
        <v>0.19468516512237657</v>
      </c>
      <c r="T26" s="16">
        <f t="shared" si="25"/>
        <v>1</v>
      </c>
      <c r="U26" s="19">
        <f t="shared" si="26"/>
        <v>1.8053148348776231</v>
      </c>
      <c r="V26" s="19">
        <f t="shared" si="27"/>
        <v>0.8053148348776231</v>
      </c>
      <c r="W26" s="21"/>
    </row>
    <row r="27" spans="1:22" s="22" customFormat="1" ht="12.75" customHeight="1">
      <c r="A27" s="19" t="s">
        <v>24</v>
      </c>
      <c r="B27" s="19">
        <f>B7/$T$7</f>
        <v>0.10057189205327861</v>
      </c>
      <c r="C27" s="19">
        <f>C7/$T$7</f>
        <v>0.07880829546375323</v>
      </c>
      <c r="D27" s="20">
        <f>SUM(B27:C27)</f>
        <v>0.17938018751703183</v>
      </c>
      <c r="E27" s="19">
        <f>E7/$T$7</f>
        <v>0.08231017591680674</v>
      </c>
      <c r="F27" s="19">
        <f>F7/$T$7</f>
        <v>0.0749373524707029</v>
      </c>
      <c r="G27" s="20">
        <f t="shared" si="20"/>
        <v>0.15724752838750966</v>
      </c>
      <c r="H27" s="19">
        <f>H7/$T$7</f>
        <v>0.0773594366263035</v>
      </c>
      <c r="I27" s="19">
        <f>I7/$T$7</f>
        <v>0.08555016022588574</v>
      </c>
      <c r="J27" s="20">
        <f t="shared" si="21"/>
        <v>0.16290959685218925</v>
      </c>
      <c r="K27" s="19">
        <f>K7/$T$7</f>
        <v>0.08222210592394975</v>
      </c>
      <c r="L27" s="19">
        <f>L7/$T$7</f>
        <v>0.07074972315168244</v>
      </c>
      <c r="M27" s="20">
        <f t="shared" si="22"/>
        <v>0.1529718290756322</v>
      </c>
      <c r="N27" s="19">
        <f>N7/$T$7</f>
        <v>0.07033162002333586</v>
      </c>
      <c r="O27" s="19">
        <f>O7/$T$7</f>
        <v>0.0762954344841298</v>
      </c>
      <c r="P27" s="20">
        <f t="shared" si="23"/>
        <v>0.14662705450746566</v>
      </c>
      <c r="Q27" s="19">
        <f>Q7/$T$7</f>
        <v>0.07670929217282364</v>
      </c>
      <c r="R27" s="19">
        <f>R7/$T$7</f>
        <v>0.12415451148734788</v>
      </c>
      <c r="S27" s="20">
        <f t="shared" si="24"/>
        <v>0.20086380366017154</v>
      </c>
      <c r="T27" s="16">
        <f t="shared" si="25"/>
        <v>1</v>
      </c>
      <c r="U27" s="19">
        <f t="shared" si="26"/>
        <v>1.799136196339829</v>
      </c>
      <c r="V27" s="19">
        <f t="shared" si="27"/>
        <v>0.7991361963398289</v>
      </c>
    </row>
    <row r="28" spans="1:22" s="22" customFormat="1" ht="12.75" customHeight="1">
      <c r="A28" s="19" t="s">
        <v>25</v>
      </c>
      <c r="B28" s="19">
        <f>B8/$T$8</f>
        <v>0.10128891836378145</v>
      </c>
      <c r="C28" s="19">
        <f>C8/$T$8</f>
        <v>0.06980085003450139</v>
      </c>
      <c r="D28" s="20">
        <f t="shared" si="19"/>
        <v>0.17108976839828283</v>
      </c>
      <c r="E28" s="19">
        <f>E8/$T$8</f>
        <v>0.09416699620373194</v>
      </c>
      <c r="F28" s="19">
        <f>F8/$T$8</f>
        <v>0.07350843277512266</v>
      </c>
      <c r="G28" s="20">
        <f t="shared" si="20"/>
        <v>0.1676754289788546</v>
      </c>
      <c r="H28" s="19">
        <f>H8/$T$8</f>
        <v>0.06617616542919118</v>
      </c>
      <c r="I28" s="19">
        <f>I8/$T$8</f>
        <v>0.0544327118136447</v>
      </c>
      <c r="J28" s="20">
        <f t="shared" si="21"/>
        <v>0.12060887724283588</v>
      </c>
      <c r="K28" s="19">
        <f>K8/$T$8</f>
        <v>0.08882061006395418</v>
      </c>
      <c r="L28" s="19">
        <f>L8/$T$8</f>
        <v>0.07642754309621183</v>
      </c>
      <c r="M28" s="20">
        <f t="shared" si="22"/>
        <v>0.165248153160166</v>
      </c>
      <c r="N28" s="19">
        <f>N8/$T$8</f>
        <v>0.07597588884640313</v>
      </c>
      <c r="O28" s="19">
        <f>O8/$T$8</f>
        <v>0.0824183116369373</v>
      </c>
      <c r="P28" s="20">
        <f t="shared" si="23"/>
        <v>0.15839420048334044</v>
      </c>
      <c r="Q28" s="19">
        <f>Q8/$T$8</f>
        <v>0.08286538431331748</v>
      </c>
      <c r="R28" s="19">
        <f>R8/$T$8</f>
        <v>0.13411818742320275</v>
      </c>
      <c r="S28" s="20">
        <f t="shared" si="24"/>
        <v>0.21698357173652022</v>
      </c>
      <c r="T28" s="16">
        <f t="shared" si="25"/>
        <v>1</v>
      </c>
      <c r="U28" s="19">
        <f t="shared" si="26"/>
        <v>1.7830164282634795</v>
      </c>
      <c r="V28" s="19">
        <f t="shared" si="27"/>
        <v>0.7830164282634795</v>
      </c>
    </row>
    <row r="29" spans="1:22" s="22" customFormat="1" ht="12.75" customHeight="1" hidden="1">
      <c r="A29" s="19" t="s">
        <v>26</v>
      </c>
      <c r="B29" s="19">
        <f>B9/$T$8</f>
        <v>0</v>
      </c>
      <c r="C29" s="19">
        <v>0</v>
      </c>
      <c r="D29" s="20">
        <f t="shared" si="19"/>
        <v>0</v>
      </c>
      <c r="E29" s="19">
        <v>0</v>
      </c>
      <c r="F29" s="19">
        <v>0</v>
      </c>
      <c r="G29" s="20">
        <f t="shared" si="20"/>
        <v>0</v>
      </c>
      <c r="H29" s="19">
        <v>0</v>
      </c>
      <c r="I29" s="19">
        <v>0</v>
      </c>
      <c r="J29" s="20">
        <f t="shared" si="21"/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20">
        <f t="shared" si="23"/>
        <v>0</v>
      </c>
      <c r="Q29" s="19">
        <v>0</v>
      </c>
      <c r="R29" s="19">
        <v>0</v>
      </c>
      <c r="S29" s="20">
        <f t="shared" si="24"/>
        <v>0</v>
      </c>
      <c r="T29" s="16">
        <f t="shared" si="25"/>
        <v>0</v>
      </c>
      <c r="U29" s="19">
        <f t="shared" si="26"/>
        <v>0</v>
      </c>
      <c r="V29" s="19">
        <f t="shared" si="27"/>
        <v>0</v>
      </c>
    </row>
    <row r="30" spans="1:22" s="22" customFormat="1" ht="12.75" customHeight="1">
      <c r="A30" s="19" t="s">
        <v>27</v>
      </c>
      <c r="B30" s="19">
        <f>B10/$T$10</f>
        <v>0.001420588559542996</v>
      </c>
      <c r="C30" s="19">
        <f>C10/$T$10</f>
        <v>0.112278642016722</v>
      </c>
      <c r="D30" s="20">
        <f t="shared" si="19"/>
        <v>0.11369923057626499</v>
      </c>
      <c r="E30" s="19">
        <f>E10/$T$10</f>
        <v>0.8913327321251435</v>
      </c>
      <c r="F30" s="19">
        <f>F10/$T$10</f>
        <v>-0.00610843219079845</v>
      </c>
      <c r="G30" s="20">
        <f t="shared" si="20"/>
        <v>0.885224299934345</v>
      </c>
      <c r="H30" s="19">
        <f>H10/$T$10</f>
        <v>9.255400726560982E-05</v>
      </c>
      <c r="I30" s="19">
        <f>I10/$T$10</f>
        <v>0.0007570523333381157</v>
      </c>
      <c r="J30" s="20">
        <f t="shared" si="21"/>
        <v>0.0008496063406037255</v>
      </c>
      <c r="K30" s="19">
        <f>K10/$T$10</f>
        <v>3.7269343622157596E-05</v>
      </c>
      <c r="L30" s="19">
        <f>L10/$T$10</f>
        <v>3.207400433697784E-05</v>
      </c>
      <c r="M30" s="20">
        <f t="shared" si="22"/>
        <v>6.934334795913544E-05</v>
      </c>
      <c r="N30" s="19">
        <f>N10/$T$10</f>
        <v>3.188158436345266E-05</v>
      </c>
      <c r="O30" s="19">
        <f>O10/$T$10</f>
        <v>3.4587490241150456E-05</v>
      </c>
      <c r="P30" s="20">
        <f t="shared" si="23"/>
        <v>6.646907460460311E-05</v>
      </c>
      <c r="Q30" s="19">
        <f>Q10/$T$10</f>
        <v>3.4767883966330304E-05</v>
      </c>
      <c r="R30" s="19">
        <f>R10/$T$10</f>
        <v>5.6282842256114084E-05</v>
      </c>
      <c r="S30" s="20">
        <f t="shared" si="24"/>
        <v>9.10507262224444E-05</v>
      </c>
      <c r="T30" s="16">
        <f t="shared" si="25"/>
        <v>0.9999999999999999</v>
      </c>
      <c r="U30" s="19">
        <f t="shared" si="26"/>
        <v>1.9999089492737776</v>
      </c>
      <c r="V30" s="19">
        <f t="shared" si="27"/>
        <v>0.9999089492737777</v>
      </c>
    </row>
    <row r="31" spans="1:22" s="22" customFormat="1" ht="12.75" customHeight="1">
      <c r="A31" s="19" t="s">
        <v>28</v>
      </c>
      <c r="B31" s="19">
        <f>B11/$T$11</f>
        <v>0.10222734923958404</v>
      </c>
      <c r="C31" s="19">
        <f>C11/$T$11</f>
        <v>0.08692145207867535</v>
      </c>
      <c r="D31" s="20">
        <f t="shared" si="19"/>
        <v>0.1891488013182594</v>
      </c>
      <c r="E31" s="19">
        <f>E11/$T$11</f>
        <v>0.08709027226551824</v>
      </c>
      <c r="F31" s="19">
        <f>F11/$T$11</f>
        <v>0.08749518798214113</v>
      </c>
      <c r="G31" s="20">
        <f t="shared" si="20"/>
        <v>0.17458546024765936</v>
      </c>
      <c r="H31" s="19">
        <f>H11/$T$11</f>
        <v>0.07231318032045463</v>
      </c>
      <c r="I31" s="19">
        <f>I11/$T$11</f>
        <v>0.09140033943802288</v>
      </c>
      <c r="J31" s="20">
        <f t="shared" si="21"/>
        <v>0.1637135197584775</v>
      </c>
      <c r="K31" s="19">
        <f>K11/$T$11</f>
        <v>0.07763663479435295</v>
      </c>
      <c r="L31" s="19">
        <f>L11/$T$11</f>
        <v>0.06680405889178924</v>
      </c>
      <c r="M31" s="20">
        <f t="shared" si="22"/>
        <v>0.1444406936861422</v>
      </c>
      <c r="N31" s="19">
        <f>N11/$T$11</f>
        <v>0.06640927243522553</v>
      </c>
      <c r="O31" s="19">
        <f>O11/$T$11</f>
        <v>0.07204048859997136</v>
      </c>
      <c r="P31" s="20">
        <f t="shared" si="23"/>
        <v>0.1384497610351969</v>
      </c>
      <c r="Q31" s="19">
        <f>Q11/$T$11</f>
        <v>0.07243126695239807</v>
      </c>
      <c r="R31" s="19">
        <f>R11/$T$11</f>
        <v>0.11723049700186641</v>
      </c>
      <c r="S31" s="20">
        <f t="shared" si="24"/>
        <v>0.18966176395426448</v>
      </c>
      <c r="T31" s="16">
        <f t="shared" si="25"/>
        <v>0.9999999999999998</v>
      </c>
      <c r="U31" s="19">
        <f t="shared" si="26"/>
        <v>1.8103382360457352</v>
      </c>
      <c r="V31" s="19">
        <f t="shared" si="27"/>
        <v>0.8103382360457354</v>
      </c>
    </row>
    <row r="32" spans="1:22" s="22" customFormat="1" ht="12.75" customHeight="1">
      <c r="A32" s="19" t="s">
        <v>29</v>
      </c>
      <c r="B32" s="19">
        <f>B12/$T$12</f>
        <v>0.08173696419470233</v>
      </c>
      <c r="C32" s="19">
        <f>C12/$T$12</f>
        <v>0.09476297428756489</v>
      </c>
      <c r="D32" s="20">
        <f t="shared" si="19"/>
        <v>0.17649993848226722</v>
      </c>
      <c r="E32" s="19">
        <f>E12/$T$12</f>
        <v>0.08274755180543537</v>
      </c>
      <c r="F32" s="19">
        <f>F12/$T$12</f>
        <v>0.08184579980377236</v>
      </c>
      <c r="G32" s="20">
        <f t="shared" si="20"/>
        <v>0.16459335160920774</v>
      </c>
      <c r="H32" s="19">
        <f>H12/$T$12</f>
        <v>0.11278736802334315</v>
      </c>
      <c r="I32" s="19">
        <f>I12/$T$12</f>
        <v>0.062211359831284146</v>
      </c>
      <c r="J32" s="20">
        <f t="shared" si="21"/>
        <v>0.17499872785462728</v>
      </c>
      <c r="K32" s="19">
        <f>K12/$T$12</f>
        <v>0.07950229682679043</v>
      </c>
      <c r="L32" s="19">
        <f>L12/$T$12</f>
        <v>0.06840940487053282</v>
      </c>
      <c r="M32" s="20">
        <f t="shared" si="22"/>
        <v>0.14791170169732326</v>
      </c>
      <c r="N32" s="19">
        <f>N12/$T$12</f>
        <v>0.0680051349557059</v>
      </c>
      <c r="O32" s="19">
        <f>O12/$T$12</f>
        <v>0.0737716697224818</v>
      </c>
      <c r="P32" s="20">
        <f t="shared" si="23"/>
        <v>0.1417768046781877</v>
      </c>
      <c r="Q32" s="19">
        <f>Q12/$T$12</f>
        <v>0.07417184684322362</v>
      </c>
      <c r="R32" s="19">
        <f>R12/$T$12</f>
        <v>0.12004762883516332</v>
      </c>
      <c r="S32" s="20">
        <f t="shared" si="24"/>
        <v>0.19421947567838693</v>
      </c>
      <c r="T32" s="16">
        <f t="shared" si="25"/>
        <v>1.0000000000000002</v>
      </c>
      <c r="U32" s="19">
        <f t="shared" si="26"/>
        <v>1.805780524321613</v>
      </c>
      <c r="V32" s="19">
        <f t="shared" si="27"/>
        <v>0.8057805243216127</v>
      </c>
    </row>
    <row r="33" spans="1:22" s="18" customFormat="1" ht="12.75" customHeight="1">
      <c r="A33" s="16" t="s">
        <v>30</v>
      </c>
      <c r="B33" s="16">
        <f>B13/$T$13</f>
        <v>0.06896946846879741</v>
      </c>
      <c r="C33" s="16">
        <f>C13/$T$13</f>
        <v>0.06737462794933541</v>
      </c>
      <c r="D33" s="17">
        <f t="shared" si="19"/>
        <v>0.13634409641813283</v>
      </c>
      <c r="E33" s="16">
        <f>E13/$T$13</f>
        <v>0.07169744995265069</v>
      </c>
      <c r="F33" s="16">
        <f>F13/$T$13</f>
        <v>0.16596495073050502</v>
      </c>
      <c r="G33" s="17">
        <f t="shared" si="20"/>
        <v>0.2376624006831557</v>
      </c>
      <c r="H33" s="16">
        <f>H13/$T$13</f>
        <v>0.005474148954921262</v>
      </c>
      <c r="I33" s="16">
        <f>I13/$T$13</f>
        <v>0.00793686404946916</v>
      </c>
      <c r="J33" s="17">
        <f t="shared" si="21"/>
        <v>0.013411013004390421</v>
      </c>
      <c r="K33" s="16">
        <f>K13/$T$13</f>
        <v>0.10064251401341873</v>
      </c>
      <c r="L33" s="16">
        <f>L13/$T$13</f>
        <v>0.0865999462523481</v>
      </c>
      <c r="M33" s="17">
        <f t="shared" si="22"/>
        <v>0.18724246026576682</v>
      </c>
      <c r="N33" s="16">
        <f>N13/$T$13</f>
        <v>0.0860881736775938</v>
      </c>
      <c r="O33" s="16">
        <f>O13/$T$13</f>
        <v>0.09338807470577581</v>
      </c>
      <c r="P33" s="17">
        <f t="shared" si="23"/>
        <v>0.17947624838336962</v>
      </c>
      <c r="Q33" s="16">
        <f>Q13/$T$13</f>
        <v>0.09389465069372889</v>
      </c>
      <c r="R33" s="16">
        <f>R13/$T$13</f>
        <v>0.15196913055145578</v>
      </c>
      <c r="S33" s="17">
        <f t="shared" si="24"/>
        <v>0.24586378124518465</v>
      </c>
      <c r="T33" s="16">
        <f t="shared" si="25"/>
        <v>1</v>
      </c>
      <c r="U33" s="16">
        <f t="shared" si="26"/>
        <v>1.7541362187548155</v>
      </c>
      <c r="V33" s="16">
        <f t="shared" si="27"/>
        <v>0.7541362187548155</v>
      </c>
    </row>
    <row r="34" spans="1:22" s="22" customFormat="1" ht="12.75" customHeight="1">
      <c r="A34" s="19" t="s">
        <v>31</v>
      </c>
      <c r="B34" s="19">
        <f>B14/$T$14</f>
        <v>0</v>
      </c>
      <c r="C34" s="19">
        <f>C14/$T$14</f>
        <v>0</v>
      </c>
      <c r="D34" s="20">
        <f t="shared" si="19"/>
        <v>0</v>
      </c>
      <c r="E34" s="19">
        <f>E14/$T$14</f>
        <v>0</v>
      </c>
      <c r="F34" s="19">
        <f>F14/$T$14</f>
        <v>0.43598827225298264</v>
      </c>
      <c r="G34" s="20">
        <f t="shared" si="20"/>
        <v>0.43598827225298264</v>
      </c>
      <c r="H34" s="19">
        <f>H14/$T$14</f>
        <v>0.007814962260402984</v>
      </c>
      <c r="I34" s="19">
        <f>I14/$T$14</f>
        <v>0</v>
      </c>
      <c r="J34" s="20">
        <f t="shared" si="21"/>
        <v>0.007814962260402984</v>
      </c>
      <c r="K34" s="19">
        <f>K14/$T$14</f>
        <v>0.09137878040314856</v>
      </c>
      <c r="L34" s="19">
        <f>L14/$T$14</f>
        <v>0.07862877311656931</v>
      </c>
      <c r="M34" s="20">
        <f t="shared" si="22"/>
        <v>0.17000755351971786</v>
      </c>
      <c r="N34" s="19">
        <f>N14/$T$14</f>
        <v>0.07816410780635857</v>
      </c>
      <c r="O34" s="19">
        <f>O14/$T$14</f>
        <v>0.08479208295815314</v>
      </c>
      <c r="P34" s="20">
        <f t="shared" si="23"/>
        <v>0.16295619076451173</v>
      </c>
      <c r="Q34" s="19">
        <f>Q14/$T$14</f>
        <v>0.0852520307974043</v>
      </c>
      <c r="R34" s="19">
        <f>R14/$T$14</f>
        <v>0.13798099040498044</v>
      </c>
      <c r="S34" s="20">
        <f t="shared" si="24"/>
        <v>0.22323302120238475</v>
      </c>
      <c r="T34" s="16">
        <f t="shared" si="25"/>
        <v>0.9999999999999999</v>
      </c>
      <c r="U34" s="19">
        <f t="shared" si="26"/>
        <v>1.7767669787976152</v>
      </c>
      <c r="V34" s="19">
        <f t="shared" si="27"/>
        <v>0.7767669787976154</v>
      </c>
    </row>
    <row r="35" spans="1:22" s="22" customFormat="1" ht="12.75" customHeight="1">
      <c r="A35" s="19" t="s">
        <v>32</v>
      </c>
      <c r="B35" s="19">
        <f>B15/$T$15</f>
        <v>0.0006981190605405562</v>
      </c>
      <c r="C35" s="19">
        <f>C15/$T$15</f>
        <v>0.009766455631975137</v>
      </c>
      <c r="D35" s="20">
        <f t="shared" si="19"/>
        <v>0.010464574692515693</v>
      </c>
      <c r="E35" s="19">
        <f>E15/$T$15</f>
        <v>0.0010737539606052358</v>
      </c>
      <c r="F35" s="19">
        <f>F15/$T$15</f>
        <v>0.00035285622918925365</v>
      </c>
      <c r="G35" s="20">
        <f t="shared" si="20"/>
        <v>0.0014266101897944894</v>
      </c>
      <c r="H35" s="19">
        <f>H15/$T$15</f>
        <v>0.0006112464476978717</v>
      </c>
      <c r="I35" s="19">
        <f>I15/$T$15</f>
        <v>0.00040688857642757966</v>
      </c>
      <c r="J35" s="20">
        <f t="shared" si="21"/>
        <v>0.0010181350241254513</v>
      </c>
      <c r="K35" s="19">
        <f>K15/$T$15</f>
        <v>0.16217128099679015</v>
      </c>
      <c r="L35" s="19">
        <f>L15/$T$15</f>
        <v>0.13954365585337222</v>
      </c>
      <c r="M35" s="20">
        <f t="shared" si="22"/>
        <v>0.3017149368501624</v>
      </c>
      <c r="N35" s="19">
        <f>N15/$T$15</f>
        <v>0.1387190055395063</v>
      </c>
      <c r="O35" s="19">
        <f>O15/$T$15</f>
        <v>0.150481771096841</v>
      </c>
      <c r="P35" s="20">
        <f t="shared" si="23"/>
        <v>0.2892007766363473</v>
      </c>
      <c r="Q35" s="19">
        <f>Q15/$T$15</f>
        <v>0.1512980484219941</v>
      </c>
      <c r="R35" s="19">
        <f>R15/$T$15</f>
        <v>0.2448769181850606</v>
      </c>
      <c r="S35" s="20">
        <f t="shared" si="24"/>
        <v>0.3961749666070547</v>
      </c>
      <c r="T35" s="16">
        <f t="shared" si="25"/>
        <v>1</v>
      </c>
      <c r="U35" s="19">
        <f t="shared" si="26"/>
        <v>1.6038250333929454</v>
      </c>
      <c r="V35" s="19">
        <f t="shared" si="27"/>
        <v>0.6038250333929454</v>
      </c>
    </row>
    <row r="36" spans="1:22" s="22" customFormat="1" ht="12.75" customHeight="1">
      <c r="A36" s="19" t="s">
        <v>35</v>
      </c>
      <c r="B36" s="19">
        <f>B16/$T$16</f>
        <v>0.39416009367228916</v>
      </c>
      <c r="C36" s="19">
        <f>C16/$T$16</f>
        <v>0.004578347042319466</v>
      </c>
      <c r="D36" s="20">
        <f t="shared" si="19"/>
        <v>0.3987384407146086</v>
      </c>
      <c r="E36" s="19">
        <f>E16/$T$16</f>
        <v>0.004578347042319466</v>
      </c>
      <c r="F36" s="19">
        <f>F16/$T$16</f>
        <v>0.001972978482633036</v>
      </c>
      <c r="G36" s="20">
        <f t="shared" si="20"/>
        <v>0.006551325524952502</v>
      </c>
      <c r="H36" s="19">
        <f>H16/$T$16</f>
        <v>0.001972978482633036</v>
      </c>
      <c r="I36" s="19">
        <f>I16/$T$16</f>
        <v>0.2907906329281978</v>
      </c>
      <c r="J36" s="20">
        <f t="shared" si="21"/>
        <v>0.29276361141083085</v>
      </c>
      <c r="K36" s="19">
        <f>K16/$T$16</f>
        <v>0.049607270050595134</v>
      </c>
      <c r="L36" s="19">
        <f>L16/$T$16</f>
        <v>0.0426855446233685</v>
      </c>
      <c r="M36" s="20">
        <f t="shared" si="22"/>
        <v>0.09229281467396364</v>
      </c>
      <c r="N36" s="19">
        <f>N16/$T$16</f>
        <v>0.04243376695915035</v>
      </c>
      <c r="O36" s="19">
        <f>O16/$T$16</f>
        <v>0.04603171298760319</v>
      </c>
      <c r="P36" s="20">
        <f t="shared" si="23"/>
        <v>0.08846547994675354</v>
      </c>
      <c r="Q36" s="19">
        <f>Q16/$T$16</f>
        <v>0.046281526707482666</v>
      </c>
      <c r="R36" s="19">
        <f>R16/$T$16</f>
        <v>0.07490680102140816</v>
      </c>
      <c r="S36" s="20">
        <f t="shared" si="24"/>
        <v>0.12118832772889082</v>
      </c>
      <c r="T36" s="16">
        <f t="shared" si="25"/>
        <v>1</v>
      </c>
      <c r="U36" s="19">
        <f t="shared" si="26"/>
        <v>1.878811672271109</v>
      </c>
      <c r="V36" s="19">
        <f t="shared" si="27"/>
        <v>0.878811672271109</v>
      </c>
    </row>
    <row r="37" spans="1:22" s="22" customFormat="1" ht="12.75" customHeight="1">
      <c r="A37" s="12" t="s">
        <v>34</v>
      </c>
      <c r="B37" s="19">
        <f>B17/$T$17</f>
        <v>0.10143781956778596</v>
      </c>
      <c r="C37" s="19">
        <f>C17/$T$17</f>
        <v>0.09800376755273801</v>
      </c>
      <c r="D37" s="20">
        <f>SUM(B37:C37)</f>
        <v>0.19944158712052396</v>
      </c>
      <c r="E37" s="19">
        <f>E17/$T$17</f>
        <v>0.10562491075409412</v>
      </c>
      <c r="F37" s="19">
        <f>F17/$T$17</f>
        <v>0.1001515745651938</v>
      </c>
      <c r="G37" s="20">
        <f>SUM(E37:F37)</f>
        <v>0.20577648531928794</v>
      </c>
      <c r="H37" s="19">
        <f>H17/$T$17</f>
        <v>0.005394973247509756</v>
      </c>
      <c r="I37" s="19">
        <f>I17/$T$17</f>
        <v>0.011490465447248226</v>
      </c>
      <c r="J37" s="20">
        <f>SUM(H37:I37)</f>
        <v>0.016885438694757983</v>
      </c>
      <c r="K37" s="19">
        <f>K17/$T$17</f>
        <v>0.09494387541038365</v>
      </c>
      <c r="L37" s="19">
        <f>L17/$T$17</f>
        <v>0.0816964341353786</v>
      </c>
      <c r="M37" s="20">
        <f>SUM(K37:L37)</f>
        <v>0.17664030954576226</v>
      </c>
      <c r="N37" s="19">
        <f>N17/$T$17</f>
        <v>0.08121363904642812</v>
      </c>
      <c r="O37" s="19">
        <f>O17/$T$17</f>
        <v>0.08810020088831874</v>
      </c>
      <c r="P37" s="20">
        <f>SUM(N37:O37)</f>
        <v>0.16931383993474686</v>
      </c>
      <c r="Q37" s="19">
        <f>Q17/$T$17</f>
        <v>0.08857809295767159</v>
      </c>
      <c r="R37" s="19">
        <f>R17/$T$17</f>
        <v>0.14336424642724943</v>
      </c>
      <c r="S37" s="20">
        <f>SUM(Q37:R37)</f>
        <v>0.23194233938492104</v>
      </c>
      <c r="T37" s="16">
        <f>SUM(B37+C37+E37+F37+H37+I37+K37+L37+N37+O37+Q37+R37)</f>
        <v>1</v>
      </c>
      <c r="U37" s="19">
        <f>SUM(B37:R37)</f>
        <v>1.7680576606150789</v>
      </c>
      <c r="V37" s="19">
        <f>U37-T37</f>
        <v>0.7680576606150789</v>
      </c>
    </row>
    <row r="38" spans="1:22" s="1" customFormat="1" ht="12.75" customHeight="1" hidden="1">
      <c r="A38" s="12" t="s">
        <v>38</v>
      </c>
      <c r="B38" s="19">
        <f>B18/$T$17</f>
        <v>0</v>
      </c>
      <c r="C38" s="19" t="e">
        <f>C18/$T$18</f>
        <v>#DIV/0!</v>
      </c>
      <c r="D38" s="20" t="e">
        <f>SUM(B38:C38)</f>
        <v>#DIV/0!</v>
      </c>
      <c r="E38" s="19">
        <f>E18/$T$17</f>
        <v>0</v>
      </c>
      <c r="F38" s="19" t="e">
        <f>F18/$T$18</f>
        <v>#DIV/0!</v>
      </c>
      <c r="G38" s="20" t="e">
        <f>SUM(E38:F38)</f>
        <v>#DIV/0!</v>
      </c>
      <c r="H38" s="19">
        <f>H18/$T$17</f>
        <v>0</v>
      </c>
      <c r="I38" s="19">
        <f>I18/$T$17</f>
        <v>0</v>
      </c>
      <c r="J38" s="20">
        <f>SUM(H38:I38)</f>
        <v>0</v>
      </c>
      <c r="K38" s="19">
        <f>K18/$T$17</f>
        <v>0</v>
      </c>
      <c r="L38" s="19">
        <f>L18/$T$17</f>
        <v>0</v>
      </c>
      <c r="M38" s="20">
        <f>SUM(K38:L38)</f>
        <v>0</v>
      </c>
      <c r="N38" s="19">
        <f>N18/$T$17</f>
        <v>0</v>
      </c>
      <c r="O38" s="19">
        <f>O18/$T$17</f>
        <v>0</v>
      </c>
      <c r="P38" s="20">
        <f>SUM(N38:O38)</f>
        <v>0</v>
      </c>
      <c r="Q38" s="19">
        <f>Q18/$T$17</f>
        <v>0</v>
      </c>
      <c r="R38" s="19">
        <f>R18/$T$17</f>
        <v>0</v>
      </c>
      <c r="S38" s="20">
        <f>SUM(Q38:R38)</f>
        <v>0</v>
      </c>
      <c r="T38" s="16" t="e">
        <f>SUM(B38+C38+E38+F38+H38+I38+K38+L38+N38+O38+Q38+R38)</f>
        <v>#DIV/0!</v>
      </c>
      <c r="U38" s="19" t="e">
        <f>U18/$T$18</f>
        <v>#DIV/0!</v>
      </c>
      <c r="V38" s="19" t="e">
        <f>V18/$T$18</f>
        <v>#DIV/0!</v>
      </c>
    </row>
    <row r="40" ht="11.25">
      <c r="C40" s="28"/>
    </row>
  </sheetData>
  <sheetProtection/>
  <mergeCells count="13">
    <mergeCell ref="J3:J4"/>
    <mergeCell ref="M3:M4"/>
    <mergeCell ref="B23:J23"/>
    <mergeCell ref="K23:T23"/>
    <mergeCell ref="P3:P4"/>
    <mergeCell ref="S3:S4"/>
    <mergeCell ref="B2:J2"/>
    <mergeCell ref="K2:T2"/>
    <mergeCell ref="A22:T22"/>
    <mergeCell ref="A23:A24"/>
    <mergeCell ref="A2:A4"/>
    <mergeCell ref="D3:D4"/>
    <mergeCell ref="G3:G4"/>
  </mergeCells>
  <printOptions horizontalCentered="1"/>
  <pageMargins left="0.2755905511811024" right="0.2755905511811024" top="0.7480314960629921" bottom="0.2755905511811024" header="0.3937007874015748" footer="0.5118110236220472"/>
  <pageSetup orientation="landscape" paperSize="9" r:id="rId1"/>
  <headerFooter alignWithMargins="0">
    <oddHeader>&amp;C&amp;"-,Regular"&amp;12ANEXO I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dirlegis3</cp:lastModifiedBy>
  <cp:lastPrinted>2020-07-08T15:15:44Z</cp:lastPrinted>
  <dcterms:created xsi:type="dcterms:W3CDTF">2005-01-14T10:04:29Z</dcterms:created>
  <dcterms:modified xsi:type="dcterms:W3CDTF">2020-07-09T13:35:13Z</dcterms:modified>
  <cp:category/>
  <cp:version/>
  <cp:contentType/>
  <cp:contentStatus/>
  <cp:revision>2</cp:revision>
</cp:coreProperties>
</file>