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<sst xmlns="http://schemas.openxmlformats.org/spreadsheetml/2006/main" count="90" uniqueCount="44">
  <si>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</si>
  <si>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</si>
  <si>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</si>
  <si>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</si>
  <si>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</si>
  <si>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</si>
  <si>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</si>
  <si>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</si>
  <si>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</si>
  <si>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</si>
  <si>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</si>
  <si>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</si>
  <si>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</si>
  <si>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</si>
  <si>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</si>
  <si>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</si>
  <si>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</si>
  <si>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</si>
  <si>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</si>
  <si>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</si>
  <si>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</si>
  <si>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</si>
  <si>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</si>
  <si>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</si>
  <si>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</si>
  <si>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</si>
  <si>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</si>
  <si>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</si>
  <si>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</si>
  <si>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</si>
  <si>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</si>
  <si>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</si>
  <si>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</si>
  <si>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</si>
  <si>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</si>
  <si>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</si>
  <si>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</si>
  <si>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</si>
  <si>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</si>
  <si>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</si>
  <si>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2020</t>
  </si>
  <si>
    <t>PROJEÇÃO PERCENTUAL DA ARRECADAÇÃO MENSAL – 2020</t>
  </si>
  <si>
    <t>CONTRIBUIÇÕES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</si>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</sst>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5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Border="1" applyAlignment="1">
      <alignment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="110" zoomScaleNormal="11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6" sqref="O16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3" t="s">
        <v>0</v>
      </c>
      <c r="B2" s="29" t="s">
        <v>40</v>
      </c>
      <c r="C2" s="30"/>
      <c r="D2" s="30"/>
      <c r="E2" s="30"/>
      <c r="F2" s="30"/>
      <c r="G2" s="30"/>
      <c r="H2" s="30"/>
      <c r="I2" s="30"/>
      <c r="J2" s="30"/>
      <c r="K2" s="29" t="s">
        <v>40</v>
      </c>
      <c r="L2" s="30"/>
      <c r="M2" s="30"/>
      <c r="N2" s="30"/>
      <c r="O2" s="30"/>
      <c r="P2" s="30"/>
      <c r="Q2" s="30"/>
      <c r="R2" s="30"/>
      <c r="S2" s="30"/>
      <c r="T2" s="31"/>
      <c r="U2" s="3"/>
      <c r="V2" s="3"/>
    </row>
    <row r="3" spans="1:22" s="4" customFormat="1" ht="12.75" customHeight="1">
      <c r="A3" s="33"/>
      <c r="B3" s="5" t="s">
        <v>1</v>
      </c>
      <c r="C3" s="5" t="s">
        <v>2</v>
      </c>
      <c r="D3" s="34" t="s">
        <v>3</v>
      </c>
      <c r="E3" s="5" t="s">
        <v>4</v>
      </c>
      <c r="F3" s="5" t="s">
        <v>5</v>
      </c>
      <c r="G3" s="34" t="s">
        <v>6</v>
      </c>
      <c r="H3" s="5" t="s">
        <v>7</v>
      </c>
      <c r="I3" s="5" t="s">
        <v>8</v>
      </c>
      <c r="J3" s="34" t="s">
        <v>9</v>
      </c>
      <c r="K3" s="5" t="s">
        <v>10</v>
      </c>
      <c r="L3" s="5" t="s">
        <v>11</v>
      </c>
      <c r="M3" s="34" t="s">
        <v>12</v>
      </c>
      <c r="N3" s="5" t="s">
        <v>13</v>
      </c>
      <c r="O3" s="5" t="s">
        <v>14</v>
      </c>
      <c r="P3" s="34" t="s">
        <v>15</v>
      </c>
      <c r="Q3" s="5" t="s">
        <v>16</v>
      </c>
      <c r="R3" s="5" t="s">
        <v>17</v>
      </c>
      <c r="S3" s="34" t="s">
        <v>18</v>
      </c>
      <c r="T3" s="26" t="s">
        <v>19</v>
      </c>
      <c r="U3" s="24"/>
      <c r="V3" s="25"/>
    </row>
    <row r="4" spans="1:22" s="4" customFormat="1" ht="12.75" customHeight="1">
      <c r="A4" s="33"/>
      <c r="B4" s="6" t="s">
        <v>43</v>
      </c>
      <c r="C4" s="6" t="s">
        <v>43</v>
      </c>
      <c r="D4" s="34"/>
      <c r="E4" s="6" t="s">
        <v>43</v>
      </c>
      <c r="F4" s="6" t="s">
        <v>43</v>
      </c>
      <c r="G4" s="34"/>
      <c r="H4" s="6" t="s">
        <v>43</v>
      </c>
      <c r="I4" s="6" t="s">
        <v>43</v>
      </c>
      <c r="J4" s="34"/>
      <c r="K4" s="6" t="s">
        <v>43</v>
      </c>
      <c r="L4" s="6" t="s">
        <v>43</v>
      </c>
      <c r="M4" s="34"/>
      <c r="N4" s="6" t="s">
        <v>43</v>
      </c>
      <c r="O4" s="6" t="s">
        <v>43</v>
      </c>
      <c r="P4" s="34"/>
      <c r="Q4" s="6" t="s">
        <v>20</v>
      </c>
      <c r="R4" s="6" t="s">
        <v>20</v>
      </c>
      <c r="S4" s="34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89717522.13999999</v>
      </c>
      <c r="C5" s="8">
        <f t="shared" si="0"/>
        <v>52279479.65999999</v>
      </c>
      <c r="D5" s="9">
        <f t="shared" si="0"/>
        <v>141997001.79999998</v>
      </c>
      <c r="E5" s="8">
        <f t="shared" si="0"/>
        <v>55301991.78</v>
      </c>
      <c r="F5" s="8">
        <f t="shared" si="0"/>
        <v>47587076.64</v>
      </c>
      <c r="G5" s="10">
        <f t="shared" si="0"/>
        <v>102889068.42</v>
      </c>
      <c r="H5" s="8">
        <f t="shared" si="0"/>
        <v>42926868.760000005</v>
      </c>
      <c r="I5" s="8">
        <f t="shared" si="0"/>
        <v>51151001.870000005</v>
      </c>
      <c r="J5" s="10">
        <f t="shared" si="0"/>
        <v>94077870.63000001</v>
      </c>
      <c r="K5" s="8">
        <f t="shared" si="0"/>
        <v>57396687.01</v>
      </c>
      <c r="L5" s="8">
        <f t="shared" si="0"/>
        <v>54694244.33</v>
      </c>
      <c r="M5" s="10">
        <f t="shared" si="0"/>
        <v>112090931.33999999</v>
      </c>
      <c r="N5" s="8">
        <f t="shared" si="0"/>
        <v>56130249.61</v>
      </c>
      <c r="O5" s="8">
        <f t="shared" si="0"/>
        <v>50017768.230000004</v>
      </c>
      <c r="P5" s="10">
        <f t="shared" si="0"/>
        <v>106148017.83999999</v>
      </c>
      <c r="Q5" s="8">
        <f t="shared" si="0"/>
        <v>47492205.8</v>
      </c>
      <c r="R5" s="8">
        <f t="shared" si="0"/>
        <v>76866457.23</v>
      </c>
      <c r="S5" s="10">
        <f t="shared" si="0"/>
        <v>124358663.03</v>
      </c>
      <c r="T5" s="8">
        <f>SUM(T6+T7+T8+T9+T10+T11+T12)</f>
        <v>681561553.0600001</v>
      </c>
      <c r="U5" s="8">
        <f>SUM(U6:U12)</f>
        <v>1238764443.09</v>
      </c>
      <c r="V5" s="11">
        <f aca="true" t="shared" si="1" ref="V5:V20">U5-T5</f>
        <v>557202890.0299999</v>
      </c>
    </row>
    <row r="6" spans="1:22" s="1" customFormat="1" ht="24.75" customHeight="1">
      <c r="A6" s="27" t="s">
        <v>39</v>
      </c>
      <c r="B6" s="13">
        <f>46588499.14-38672.7-1129.53</f>
        <v>46548696.91</v>
      </c>
      <c r="C6" s="13">
        <f>15548413.62-21506.98-808.91</f>
        <v>15526097.729999999</v>
      </c>
      <c r="D6" s="9">
        <f>SUM(B6:C6)</f>
        <v>62074794.63999999</v>
      </c>
      <c r="E6" s="13">
        <f>17712789.98-28299.49-198.63</f>
        <v>17684291.860000003</v>
      </c>
      <c r="F6" s="13">
        <f>10787548.31-5433.85-231.09</f>
        <v>10781883.370000001</v>
      </c>
      <c r="G6" s="9">
        <f aca="true" t="shared" si="2" ref="G6:G12">SUM(E6:F6)</f>
        <v>28466175.230000004</v>
      </c>
      <c r="H6" s="13">
        <f>12069911.57-993.17-312.5</f>
        <v>12068605.9</v>
      </c>
      <c r="I6" s="13">
        <f>12939401.66-11795.91-388.04</f>
        <v>12927217.71</v>
      </c>
      <c r="J6" s="9">
        <f aca="true" t="shared" si="3" ref="J6:J12">SUM(H6:I6)</f>
        <v>24995823.61</v>
      </c>
      <c r="K6" s="13">
        <f>14804764.19-23911-75.34</f>
        <v>14780777.85</v>
      </c>
      <c r="L6" s="13">
        <f>15129022-41423.43</f>
        <v>15087598.57</v>
      </c>
      <c r="M6" s="9">
        <f aca="true" t="shared" si="4" ref="M6:M12">SUM(K6:L6)</f>
        <v>29868376.42</v>
      </c>
      <c r="N6" s="13">
        <f>15481682.26-70926.86-1139</f>
        <v>15409616.4</v>
      </c>
      <c r="O6" s="13">
        <f>15615710.32-2263.53</f>
        <v>15613446.790000001</v>
      </c>
      <c r="P6" s="9">
        <f aca="true" t="shared" si="5" ref="P6:P12">SUM(N6:O6)</f>
        <v>31023063.19</v>
      </c>
      <c r="Q6" s="13">
        <v>16682065.68</v>
      </c>
      <c r="R6" s="13">
        <v>27000036.42</v>
      </c>
      <c r="S6" s="9">
        <f aca="true" t="shared" si="6" ref="S6:S11">SUM(Q6:R6)</f>
        <v>43682102.1</v>
      </c>
      <c r="T6" s="12">
        <f aca="true" t="shared" si="7" ref="T6:T12">D6+G6+J6+M6+P6+S6</f>
        <v>220110335.19</v>
      </c>
      <c r="U6" s="12">
        <f aca="true" t="shared" si="8" ref="U6:U20">SUM(B6:R6)</f>
        <v>396538568.28000003</v>
      </c>
      <c r="V6" s="14">
        <f t="shared" si="1"/>
        <v>176428233.09000003</v>
      </c>
    </row>
    <row r="7" spans="1:22" s="1" customFormat="1" ht="12.75" customHeight="1">
      <c r="A7" s="27" t="s">
        <v>42</v>
      </c>
      <c r="B7" s="13">
        <f>934135.8-63</f>
        <v>934072.8</v>
      </c>
      <c r="C7" s="13">
        <v>731940.94</v>
      </c>
      <c r="D7" s="9">
        <f aca="true" t="shared" si="9" ref="D7:D12">SUM(B7:C7)</f>
        <v>1666013.74</v>
      </c>
      <c r="E7" s="13">
        <v>764465.05</v>
      </c>
      <c r="F7" s="13">
        <v>695989.12</v>
      </c>
      <c r="G7" s="9">
        <f t="shared" si="2"/>
        <v>1460454.17</v>
      </c>
      <c r="H7" s="13">
        <v>718484.5</v>
      </c>
      <c r="I7" s="13">
        <v>794556.77</v>
      </c>
      <c r="J7" s="9">
        <f t="shared" si="3"/>
        <v>1513041.27</v>
      </c>
      <c r="K7" s="13">
        <v>757163.83</v>
      </c>
      <c r="L7" s="13">
        <v>795041.44</v>
      </c>
      <c r="M7" s="9">
        <f t="shared" si="4"/>
        <v>1552205.27</v>
      </c>
      <c r="N7" s="13">
        <f>798549.79-6.99</f>
        <v>798542.8</v>
      </c>
      <c r="O7" s="13">
        <f>816855.6</f>
        <v>816855.6</v>
      </c>
      <c r="P7" s="9">
        <f t="shared" si="5"/>
        <v>1615398.4</v>
      </c>
      <c r="Q7" s="13">
        <v>712446.21</v>
      </c>
      <c r="R7" s="13">
        <v>1153099.04</v>
      </c>
      <c r="S7" s="9">
        <f t="shared" si="6"/>
        <v>1865545.25</v>
      </c>
      <c r="T7" s="12">
        <f t="shared" si="7"/>
        <v>9672658.1</v>
      </c>
      <c r="U7" s="12">
        <f t="shared" si="8"/>
        <v>17479770.95</v>
      </c>
      <c r="V7" s="14">
        <f t="shared" si="1"/>
        <v>7807112.85</v>
      </c>
    </row>
    <row r="8" spans="1:22" s="1" customFormat="1" ht="12.75" customHeight="1">
      <c r="A8" s="12" t="s">
        <v>25</v>
      </c>
      <c r="B8" s="13">
        <v>761174.63</v>
      </c>
      <c r="C8" s="13">
        <f>534560.44-10015.04</f>
        <v>524545.3999999999</v>
      </c>
      <c r="D8" s="9">
        <f t="shared" si="9"/>
        <v>1285720.0299999998</v>
      </c>
      <c r="E8" s="13">
        <v>707654.2</v>
      </c>
      <c r="F8" s="13">
        <v>552407.46</v>
      </c>
      <c r="G8" s="9">
        <f t="shared" si="2"/>
        <v>1260061.66</v>
      </c>
      <c r="H8" s="13">
        <v>497306.31</v>
      </c>
      <c r="I8" s="13">
        <f>409055.61-0.01</f>
        <v>409055.6</v>
      </c>
      <c r="J8" s="9">
        <f t="shared" si="3"/>
        <v>906361.9099999999</v>
      </c>
      <c r="K8" s="13">
        <f>396076.79-72.1</f>
        <v>396004.69</v>
      </c>
      <c r="L8" s="13">
        <f>296832.45-2636.91</f>
        <v>294195.54000000004</v>
      </c>
      <c r="M8" s="9">
        <f t="shared" si="4"/>
        <v>690200.23</v>
      </c>
      <c r="N8" s="13">
        <f>322676.25-35011.65</f>
        <v>287664.6</v>
      </c>
      <c r="O8" s="13">
        <f>387017.41-27888.32</f>
        <v>359129.08999999997</v>
      </c>
      <c r="P8" s="9">
        <f t="shared" si="5"/>
        <v>646793.69</v>
      </c>
      <c r="Q8" s="13">
        <v>622723.88</v>
      </c>
      <c r="R8" s="13">
        <v>1007882.83</v>
      </c>
      <c r="S8" s="9">
        <f t="shared" si="6"/>
        <v>1630606.71</v>
      </c>
      <c r="T8" s="12">
        <f t="shared" si="7"/>
        <v>6419744.2299999995</v>
      </c>
      <c r="U8" s="12">
        <f t="shared" si="8"/>
        <v>11208881.75</v>
      </c>
      <c r="V8" s="14">
        <f t="shared" si="1"/>
        <v>4789137.5200000005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9"/>
        <v>0</v>
      </c>
      <c r="E9" s="13"/>
      <c r="F9" s="13"/>
      <c r="G9" s="9">
        <f t="shared" si="2"/>
        <v>0</v>
      </c>
      <c r="H9" s="13"/>
      <c r="I9" s="13"/>
      <c r="J9" s="9">
        <f t="shared" si="3"/>
        <v>0</v>
      </c>
      <c r="K9" s="13"/>
      <c r="L9" s="13"/>
      <c r="M9" s="9">
        <f t="shared" si="4"/>
        <v>0</v>
      </c>
      <c r="N9" s="13"/>
      <c r="O9" s="13"/>
      <c r="P9" s="9">
        <f t="shared" si="5"/>
        <v>0</v>
      </c>
      <c r="Q9" s="13"/>
      <c r="R9" s="13"/>
      <c r="S9" s="9">
        <f t="shared" si="6"/>
        <v>0</v>
      </c>
      <c r="T9" s="12">
        <f t="shared" si="7"/>
        <v>0</v>
      </c>
      <c r="U9" s="12">
        <f t="shared" si="8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1181.24</v>
      </c>
      <c r="C10" s="13">
        <v>93361.32</v>
      </c>
      <c r="D10" s="9">
        <f t="shared" si="9"/>
        <v>94542.56000000001</v>
      </c>
      <c r="E10" s="13">
        <v>741156.1</v>
      </c>
      <c r="F10" s="13">
        <f>30.75-5110</f>
        <v>-5079.25</v>
      </c>
      <c r="G10" s="9">
        <f t="shared" si="2"/>
        <v>736076.85</v>
      </c>
      <c r="H10" s="13">
        <v>76.96</v>
      </c>
      <c r="I10" s="13">
        <f>739.5-110</f>
        <v>629.5</v>
      </c>
      <c r="J10" s="9">
        <f t="shared" si="3"/>
        <v>706.46</v>
      </c>
      <c r="K10" s="13">
        <v>47.24</v>
      </c>
      <c r="L10" s="13">
        <f>61.79-33025.96</f>
        <v>-32964.17</v>
      </c>
      <c r="M10" s="9">
        <f t="shared" si="4"/>
        <v>-32916.93</v>
      </c>
      <c r="N10" s="13">
        <f>738.13</f>
        <v>738.13</v>
      </c>
      <c r="O10" s="13">
        <v>213.41</v>
      </c>
      <c r="P10" s="9">
        <f t="shared" si="5"/>
        <v>951.54</v>
      </c>
      <c r="Q10" s="13">
        <v>28.91</v>
      </c>
      <c r="R10" s="13">
        <v>46.8</v>
      </c>
      <c r="S10" s="9">
        <f>SUM(Q10:R10)</f>
        <v>75.71</v>
      </c>
      <c r="T10" s="12">
        <f>D10+G10+J10+M10+P10+S10</f>
        <v>799436.19</v>
      </c>
      <c r="U10" s="12">
        <f t="shared" si="8"/>
        <v>1598796.6699999997</v>
      </c>
      <c r="V10" s="14">
        <f t="shared" si="1"/>
        <v>799360.4799999997</v>
      </c>
    </row>
    <row r="11" spans="1:22" s="1" customFormat="1" ht="12.75" customHeight="1">
      <c r="A11" s="12" t="s">
        <v>28</v>
      </c>
      <c r="B11" s="13">
        <v>41017658.15</v>
      </c>
      <c r="C11" s="13">
        <v>34876326.48</v>
      </c>
      <c r="D11" s="9">
        <f t="shared" si="9"/>
        <v>75893984.63</v>
      </c>
      <c r="E11" s="13">
        <v>34944063.82</v>
      </c>
      <c r="F11" s="13">
        <v>35106532.03</v>
      </c>
      <c r="G11" s="9">
        <f t="shared" si="2"/>
        <v>70050595.85</v>
      </c>
      <c r="H11" s="13">
        <v>29014909.73</v>
      </c>
      <c r="I11" s="13">
        <f>36673433.34</f>
        <v>36673433.34</v>
      </c>
      <c r="J11" s="9">
        <f t="shared" si="3"/>
        <v>65688343.07000001</v>
      </c>
      <c r="K11" s="13">
        <f>40775633.04-2869.28</f>
        <v>40772763.76</v>
      </c>
      <c r="L11" s="13">
        <v>38106200.04</v>
      </c>
      <c r="M11" s="9">
        <f t="shared" si="4"/>
        <v>78878963.8</v>
      </c>
      <c r="N11" s="13">
        <f>38700596.28</f>
        <v>38700596.28</v>
      </c>
      <c r="O11" s="13">
        <v>32990725.07</v>
      </c>
      <c r="P11" s="9">
        <f t="shared" si="5"/>
        <v>71691321.35</v>
      </c>
      <c r="Q11" s="13">
        <v>29062290.76</v>
      </c>
      <c r="R11" s="13">
        <v>47037514.78</v>
      </c>
      <c r="S11" s="9">
        <f t="shared" si="6"/>
        <v>76099805.54</v>
      </c>
      <c r="T11" s="12">
        <f t="shared" si="7"/>
        <v>438303014.24000007</v>
      </c>
      <c r="U11" s="12">
        <f t="shared" si="8"/>
        <v>800506222.9399999</v>
      </c>
      <c r="V11" s="14">
        <f t="shared" si="1"/>
        <v>362203208.69999987</v>
      </c>
    </row>
    <row r="12" spans="1:22" s="1" customFormat="1" ht="12.75" customHeight="1">
      <c r="A12" s="12" t="s">
        <v>29</v>
      </c>
      <c r="B12" s="13">
        <f>454838.25-99.84</f>
        <v>454738.41</v>
      </c>
      <c r="C12" s="13">
        <f>527211.95-4.16</f>
        <v>527207.7899999999</v>
      </c>
      <c r="D12" s="9">
        <f t="shared" si="9"/>
        <v>981946.2</v>
      </c>
      <c r="E12" s="13">
        <v>460360.75</v>
      </c>
      <c r="F12" s="13">
        <f>459671.75-4327.84</f>
        <v>455343.91</v>
      </c>
      <c r="G12" s="9">
        <f t="shared" si="2"/>
        <v>915704.6599999999</v>
      </c>
      <c r="H12" s="13">
        <f>627651.17-165.81</f>
        <v>627485.36</v>
      </c>
      <c r="I12" s="13">
        <f>346612.37-503.42</f>
        <v>346108.95</v>
      </c>
      <c r="J12" s="9">
        <f t="shared" si="3"/>
        <v>973594.31</v>
      </c>
      <c r="K12" s="13">
        <v>689929.64</v>
      </c>
      <c r="L12" s="13">
        <f>444601.86-428.95</f>
        <v>444172.91</v>
      </c>
      <c r="M12" s="9">
        <f t="shared" si="4"/>
        <v>1134102.55</v>
      </c>
      <c r="N12" s="13">
        <f>934863.12-1771.72</f>
        <v>933091.4</v>
      </c>
      <c r="O12" s="13">
        <f>237710.2-311.93</f>
        <v>237398.27000000002</v>
      </c>
      <c r="P12" s="9">
        <f t="shared" si="5"/>
        <v>1170489.67</v>
      </c>
      <c r="Q12" s="13">
        <v>412650.36</v>
      </c>
      <c r="R12" s="13">
        <v>667877.36</v>
      </c>
      <c r="S12" s="9">
        <f>SUM(Q12:R12)</f>
        <v>1080527.72</v>
      </c>
      <c r="T12" s="12">
        <f t="shared" si="7"/>
        <v>6256365.109999999</v>
      </c>
      <c r="U12" s="12">
        <f t="shared" si="8"/>
        <v>11432202.499999998</v>
      </c>
      <c r="V12" s="14">
        <f t="shared" si="1"/>
        <v>5175837.389999999</v>
      </c>
    </row>
    <row r="13" spans="1:22" s="1" customFormat="1" ht="12.75" customHeight="1">
      <c r="A13" s="8" t="s">
        <v>30</v>
      </c>
      <c r="B13" s="8">
        <f aca="true" t="shared" si="10" ref="B13:S13">B15+B16+B14+B17</f>
        <v>4672299.84</v>
      </c>
      <c r="C13" s="8">
        <f>C15+C16+C14+C17+C18</f>
        <v>4564258.22</v>
      </c>
      <c r="D13" s="10">
        <f t="shared" si="10"/>
        <v>9236558.06</v>
      </c>
      <c r="E13" s="8">
        <f>E15+E16+E14+E17</f>
        <v>4857105.49</v>
      </c>
      <c r="F13" s="8">
        <f aca="true" t="shared" si="11" ref="F13:L13">F15+F16+F14+F17+F18</f>
        <v>11243207.030000001</v>
      </c>
      <c r="G13" s="10">
        <f t="shared" si="11"/>
        <v>16100312.52</v>
      </c>
      <c r="H13" s="8">
        <f t="shared" si="11"/>
        <v>370843.3</v>
      </c>
      <c r="I13" s="8">
        <f t="shared" si="11"/>
        <v>537678.62</v>
      </c>
      <c r="J13" s="10">
        <f>J15+J16+J14+J17+J18</f>
        <v>908521.9199999999</v>
      </c>
      <c r="K13" s="8">
        <f t="shared" si="11"/>
        <v>858695.75</v>
      </c>
      <c r="L13" s="8">
        <f t="shared" si="11"/>
        <v>2792177.87</v>
      </c>
      <c r="M13" s="10">
        <f t="shared" si="10"/>
        <v>3650873.6199999996</v>
      </c>
      <c r="N13" s="8">
        <f t="shared" si="10"/>
        <v>-3135211.5700000003</v>
      </c>
      <c r="O13" s="8">
        <f t="shared" si="10"/>
        <v>1554478.88</v>
      </c>
      <c r="P13" s="10">
        <f t="shared" si="10"/>
        <v>-1580732.6900000004</v>
      </c>
      <c r="Q13" s="8">
        <f t="shared" si="10"/>
        <v>6360843.01</v>
      </c>
      <c r="R13" s="8">
        <f t="shared" si="10"/>
        <v>10295067.66</v>
      </c>
      <c r="S13" s="10">
        <f t="shared" si="10"/>
        <v>16655910.67</v>
      </c>
      <c r="T13" s="8">
        <f>T15+T16+T14+T17+T18</f>
        <v>44971444.099999994</v>
      </c>
      <c r="U13" s="8">
        <f t="shared" si="8"/>
        <v>73286977.52999999</v>
      </c>
      <c r="V13" s="11">
        <f t="shared" si="1"/>
        <v>28315533.429999992</v>
      </c>
    </row>
    <row r="14" spans="1:22" s="1" customFormat="1" ht="12.75" customHeight="1">
      <c r="A14" s="12" t="s">
        <v>31</v>
      </c>
      <c r="B14" s="12">
        <v>0</v>
      </c>
      <c r="C14" s="14">
        <v>0</v>
      </c>
      <c r="D14" s="9">
        <f aca="true" t="shared" si="12" ref="D14:D20">SUM(B14:C14)</f>
        <v>0</v>
      </c>
      <c r="E14" s="12">
        <v>0</v>
      </c>
      <c r="F14" s="12">
        <v>6642219.4</v>
      </c>
      <c r="G14" s="9">
        <f aca="true" t="shared" si="13" ref="G14:G20">SUM(E14:F14)</f>
        <v>6642219.4</v>
      </c>
      <c r="H14" s="12">
        <v>119059.84</v>
      </c>
      <c r="I14" s="12">
        <v>0</v>
      </c>
      <c r="J14" s="9">
        <f aca="true" t="shared" si="14" ref="J14:J20">SUM(H14:I14)</f>
        <v>119059.84</v>
      </c>
      <c r="K14" s="12">
        <v>290682.83</v>
      </c>
      <c r="L14" s="12">
        <v>1942433.66</v>
      </c>
      <c r="M14" s="9">
        <f aca="true" t="shared" si="15" ref="M14:M20">SUM(K14:L14)</f>
        <v>2233116.4899999998</v>
      </c>
      <c r="N14" s="12">
        <f>341497.05-3936482.56</f>
        <v>-3594985.5100000002</v>
      </c>
      <c r="O14" s="12">
        <v>842561.4</v>
      </c>
      <c r="P14" s="9">
        <f aca="true" t="shared" si="16" ref="P14:P20">SUM(N14:O14)</f>
        <v>-2752424.1100000003</v>
      </c>
      <c r="Q14" s="12">
        <f>665040.4+148729.22+400469.98+84562.98</f>
        <v>1298802.58</v>
      </c>
      <c r="R14" s="12">
        <f>1076372.4+240719.26+648163.38+136865.75</f>
        <v>2102120.79</v>
      </c>
      <c r="S14" s="9">
        <f aca="true" t="shared" si="17" ref="S14:S21">SUM(Q14:R14)</f>
        <v>3400923.37</v>
      </c>
      <c r="T14" s="12">
        <f aca="true" t="shared" si="18" ref="T14:T20">D14+G14+J14+M14+P14+S14</f>
        <v>9642894.99</v>
      </c>
      <c r="U14" s="12">
        <f t="shared" si="8"/>
        <v>15884866.610000003</v>
      </c>
      <c r="V14" s="14">
        <f t="shared" si="1"/>
        <v>6241971.620000003</v>
      </c>
    </row>
    <row r="15" spans="1:22" s="1" customFormat="1" ht="12.75" customHeight="1">
      <c r="A15" s="12" t="s">
        <v>32</v>
      </c>
      <c r="B15" s="12">
        <v>4584.93</v>
      </c>
      <c r="C15" s="14">
        <v>64141.66</v>
      </c>
      <c r="D15" s="9">
        <f t="shared" si="12"/>
        <v>68726.59</v>
      </c>
      <c r="E15" s="12">
        <v>7051.93</v>
      </c>
      <c r="F15" s="12">
        <v>2317.4</v>
      </c>
      <c r="G15" s="9">
        <f t="shared" si="13"/>
        <v>9369.33</v>
      </c>
      <c r="H15" s="12">
        <v>4014.39</v>
      </c>
      <c r="I15" s="12">
        <f>101058.22-98385.96</f>
        <v>2672.2599999999948</v>
      </c>
      <c r="J15" s="9">
        <f t="shared" si="14"/>
        <v>6686.649999999994</v>
      </c>
      <c r="K15" s="12">
        <f>4345.49-1421.93</f>
        <v>2923.5599999999995</v>
      </c>
      <c r="L15" s="12">
        <f>7380.41-4514.85</f>
        <v>2865.5599999999995</v>
      </c>
      <c r="M15" s="9">
        <f t="shared" si="15"/>
        <v>5789.119999999999</v>
      </c>
      <c r="N15" s="12">
        <f>5425.16-2275.2</f>
        <v>3149.96</v>
      </c>
      <c r="O15" s="12">
        <f>5062.7-2275.2</f>
        <v>2787.5</v>
      </c>
      <c r="P15" s="9">
        <f t="shared" si="16"/>
        <v>5937.46</v>
      </c>
      <c r="Q15" s="12">
        <v>993657.1</v>
      </c>
      <c r="R15" s="12">
        <v>1608240.76</v>
      </c>
      <c r="S15" s="9">
        <f t="shared" si="17"/>
        <v>2601897.86</v>
      </c>
      <c r="T15" s="12">
        <f t="shared" si="18"/>
        <v>2698407.01</v>
      </c>
      <c r="U15" s="12">
        <f t="shared" si="8"/>
        <v>2794916.16</v>
      </c>
      <c r="V15" s="14">
        <f t="shared" si="1"/>
        <v>96509.15000000037</v>
      </c>
    </row>
    <row r="16" spans="1:22" s="1" customFormat="1" ht="12.75" customHeight="1">
      <c r="A16" s="12" t="s">
        <v>33</v>
      </c>
      <c r="B16" s="12">
        <v>10034.91</v>
      </c>
      <c r="C16" s="12">
        <v>116.56</v>
      </c>
      <c r="D16" s="9">
        <f t="shared" si="12"/>
        <v>10151.47</v>
      </c>
      <c r="E16" s="12">
        <v>116.56</v>
      </c>
      <c r="F16" s="12">
        <v>50.23</v>
      </c>
      <c r="G16" s="9">
        <f t="shared" si="13"/>
        <v>166.79</v>
      </c>
      <c r="H16" s="12">
        <v>50.23</v>
      </c>
      <c r="I16" s="12">
        <v>7403.23</v>
      </c>
      <c r="J16" s="9">
        <f t="shared" si="14"/>
        <v>7453.459999999999</v>
      </c>
      <c r="K16" s="12">
        <v>2106.16</v>
      </c>
      <c r="L16" s="12">
        <v>50.23</v>
      </c>
      <c r="M16" s="9">
        <f t="shared" si="15"/>
        <v>2156.39</v>
      </c>
      <c r="N16" s="12">
        <v>7403.94</v>
      </c>
      <c r="O16" s="12">
        <v>13963.35</v>
      </c>
      <c r="P16" s="9">
        <f t="shared" si="16"/>
        <v>21367.29</v>
      </c>
      <c r="Q16" s="12">
        <f>1113.22+65.06</f>
        <v>1178.28</v>
      </c>
      <c r="R16" s="12">
        <f>1801.75+105.3</f>
        <v>1907.05</v>
      </c>
      <c r="S16" s="9">
        <f t="shared" si="17"/>
        <v>3085.33</v>
      </c>
      <c r="T16" s="12">
        <f t="shared" si="18"/>
        <v>44380.73</v>
      </c>
      <c r="U16" s="12">
        <f t="shared" si="8"/>
        <v>85676.13000000002</v>
      </c>
      <c r="V16" s="14">
        <f t="shared" si="1"/>
        <v>41295.400000000016</v>
      </c>
    </row>
    <row r="17" spans="1:22" s="1" customFormat="1" ht="12.75" customHeight="1">
      <c r="A17" s="12" t="s">
        <v>34</v>
      </c>
      <c r="B17" s="12">
        <v>4657680</v>
      </c>
      <c r="C17" s="12">
        <v>4500000</v>
      </c>
      <c r="D17" s="9">
        <f t="shared" si="12"/>
        <v>9157680</v>
      </c>
      <c r="E17" s="12">
        <v>4849937</v>
      </c>
      <c r="F17" s="12">
        <v>4598620</v>
      </c>
      <c r="G17" s="9">
        <f t="shared" si="13"/>
        <v>9448557</v>
      </c>
      <c r="H17" s="12">
        <v>247718.84</v>
      </c>
      <c r="I17" s="12">
        <v>527603.13</v>
      </c>
      <c r="J17" s="9">
        <f t="shared" si="14"/>
        <v>775321.97</v>
      </c>
      <c r="K17" s="12">
        <v>562983.2</v>
      </c>
      <c r="L17" s="12">
        <v>846828.42</v>
      </c>
      <c r="M17" s="9">
        <f t="shared" si="15"/>
        <v>1409811.62</v>
      </c>
      <c r="N17" s="12">
        <v>449220.04</v>
      </c>
      <c r="O17" s="12">
        <v>695166.63</v>
      </c>
      <c r="P17" s="9">
        <f t="shared" si="16"/>
        <v>1144386.67</v>
      </c>
      <c r="Q17" s="12">
        <f>6360843.01-Q14-Q15-Q16</f>
        <v>4067205.05</v>
      </c>
      <c r="R17" s="12">
        <f>10295067.66-R14-R15-R16</f>
        <v>6582799.0600000005</v>
      </c>
      <c r="S17" s="9">
        <f t="shared" si="17"/>
        <v>10650004.11</v>
      </c>
      <c r="T17" s="12">
        <f>D17+G17+J17+M17+P17+S17</f>
        <v>32585761.369999997</v>
      </c>
      <c r="U17" s="12">
        <f t="shared" si="8"/>
        <v>54521518.63000001</v>
      </c>
      <c r="V17" s="14">
        <f t="shared" si="1"/>
        <v>21935757.260000013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2"/>
        <v>0</v>
      </c>
      <c r="E18" s="12">
        <v>0</v>
      </c>
      <c r="F18" s="12">
        <v>0</v>
      </c>
      <c r="G18" s="9">
        <f t="shared" si="13"/>
        <v>0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4998017.88</v>
      </c>
      <c r="C19" s="12">
        <v>4271428.82</v>
      </c>
      <c r="D19" s="9">
        <f t="shared" si="12"/>
        <v>9269446.7</v>
      </c>
      <c r="E19" s="12">
        <v>3946758.02</v>
      </c>
      <c r="F19" s="12">
        <v>4149156.89</v>
      </c>
      <c r="G19" s="9">
        <f t="shared" si="13"/>
        <v>8095914.91</v>
      </c>
      <c r="H19" s="12">
        <v>3125908.33</v>
      </c>
      <c r="I19" s="12">
        <v>2940401.66</v>
      </c>
      <c r="J19" s="9">
        <f t="shared" si="14"/>
        <v>6066309.99</v>
      </c>
      <c r="K19" s="12">
        <v>2556472.83</v>
      </c>
      <c r="L19" s="12">
        <v>2842530.29</v>
      </c>
      <c r="M19" s="9">
        <f t="shared" si="15"/>
        <v>5399003.12</v>
      </c>
      <c r="N19" s="12">
        <v>2911324.22</v>
      </c>
      <c r="O19" s="12">
        <v>3211824.05</v>
      </c>
      <c r="P19" s="9">
        <f t="shared" si="16"/>
        <v>6123148.27</v>
      </c>
      <c r="Q19" s="12">
        <f>1065582.67+14775.46+1582507+766675.92+22842.69</f>
        <v>3452383.7399999998</v>
      </c>
      <c r="R19" s="12">
        <f>1724652.78+23914.19+2561298.32+1240870.18+36971.05</f>
        <v>5587706.52</v>
      </c>
      <c r="S19" s="9">
        <f t="shared" si="17"/>
        <v>9040090.26</v>
      </c>
      <c r="T19" s="12">
        <f t="shared" si="18"/>
        <v>43993913.25</v>
      </c>
      <c r="U19" s="12">
        <f t="shared" si="8"/>
        <v>78947736.23999998</v>
      </c>
      <c r="V19" s="14">
        <f t="shared" si="1"/>
        <v>34953822.98999998</v>
      </c>
    </row>
    <row r="20" spans="1:22" s="1" customFormat="1" ht="12.75" customHeight="1">
      <c r="A20" s="12" t="s">
        <v>37</v>
      </c>
      <c r="B20" s="12">
        <f>598648.88+1977946.86</f>
        <v>2576595.74</v>
      </c>
      <c r="C20" s="12">
        <f>-5235.84+54971.32</f>
        <v>49735.479999999996</v>
      </c>
      <c r="D20" s="9">
        <f t="shared" si="12"/>
        <v>2626331.22</v>
      </c>
      <c r="E20" s="12">
        <v>46989.73</v>
      </c>
      <c r="F20" s="12">
        <f>12352.15</f>
        <v>12352.15</v>
      </c>
      <c r="G20" s="9">
        <f t="shared" si="13"/>
        <v>59341.880000000005</v>
      </c>
      <c r="H20" s="12">
        <v>30333.5</v>
      </c>
      <c r="I20" s="12">
        <v>27265.69</v>
      </c>
      <c r="J20" s="9">
        <f t="shared" si="14"/>
        <v>57599.19</v>
      </c>
      <c r="K20" s="12">
        <v>42614.05</v>
      </c>
      <c r="L20" s="12">
        <v>50758.89</v>
      </c>
      <c r="M20" s="9">
        <f t="shared" si="15"/>
        <v>93372.94</v>
      </c>
      <c r="N20" s="12">
        <v>55788.54</v>
      </c>
      <c r="O20" s="12">
        <v>47319.33</v>
      </c>
      <c r="P20" s="9">
        <f t="shared" si="16"/>
        <v>103107.87</v>
      </c>
      <c r="Q20" s="12">
        <f>4443293.92-Q19</f>
        <v>990910.1800000002</v>
      </c>
      <c r="R20" s="12">
        <f>7191501.4-R19</f>
        <v>1603794.8800000008</v>
      </c>
      <c r="S20" s="9">
        <f t="shared" si="17"/>
        <v>2594705.060000001</v>
      </c>
      <c r="T20" s="12">
        <f t="shared" si="18"/>
        <v>5534458.160000001</v>
      </c>
      <c r="U20" s="12">
        <f t="shared" si="8"/>
        <v>8474211.260000004</v>
      </c>
      <c r="V20" s="14">
        <f t="shared" si="1"/>
        <v>2939753.1000000024</v>
      </c>
    </row>
    <row r="21" spans="1:24" s="2" customFormat="1" ht="12.75" customHeight="1">
      <c r="A21" s="8" t="s">
        <v>19</v>
      </c>
      <c r="B21" s="8">
        <f>B5+B13-B19-B20</f>
        <v>86815208.36</v>
      </c>
      <c r="C21" s="8">
        <f>C5+C13-C19-C20</f>
        <v>52522573.57999999</v>
      </c>
      <c r="D21" s="10">
        <f>D5+D13-D19-D20</f>
        <v>139337781.94</v>
      </c>
      <c r="E21" s="8">
        <f>E5+E13-E19-E20</f>
        <v>56165349.52</v>
      </c>
      <c r="F21" s="8">
        <f>F5+F13-F19-F20</f>
        <v>54668774.63</v>
      </c>
      <c r="G21" s="10">
        <f>SUM(E21:F21)</f>
        <v>110834124.15</v>
      </c>
      <c r="H21" s="8">
        <f>H5+H13-H19-H20</f>
        <v>40141470.230000004</v>
      </c>
      <c r="I21" s="8">
        <f>I5+I13-I19-I20</f>
        <v>48721013.14</v>
      </c>
      <c r="J21" s="10">
        <f>SUM(H21:I21)</f>
        <v>88862483.37</v>
      </c>
      <c r="K21" s="8">
        <f>K5+K13-K19-K20</f>
        <v>55656295.88</v>
      </c>
      <c r="L21" s="8">
        <f>L5+L13-L19-L20</f>
        <v>54593133.019999996</v>
      </c>
      <c r="M21" s="10">
        <f>SUM(K21:L21)</f>
        <v>110249428.9</v>
      </c>
      <c r="N21" s="8">
        <f>N5+N13-N19-N20</f>
        <v>50027925.28</v>
      </c>
      <c r="O21" s="8">
        <f>O5+O13-O19-O20</f>
        <v>48313103.73000001</v>
      </c>
      <c r="P21" s="10">
        <f>SUM(N21:O21)</f>
        <v>98341029.01000002</v>
      </c>
      <c r="Q21" s="8">
        <f>Q5+Q13-Q19-Q20</f>
        <v>49409754.88999999</v>
      </c>
      <c r="R21" s="8">
        <f>R5+R13-R19-R20</f>
        <v>79970023.49000001</v>
      </c>
      <c r="S21" s="10">
        <f t="shared" si="17"/>
        <v>129379778.38</v>
      </c>
      <c r="T21" s="8">
        <f>T5+T13-T19-T20</f>
        <v>677004625.7500001</v>
      </c>
      <c r="U21" s="8">
        <f>SUM(B21:R21)</f>
        <v>1224629473.1200001</v>
      </c>
      <c r="V21" s="11">
        <f>U21-T21</f>
        <v>547624847.37</v>
      </c>
      <c r="W21" s="1"/>
      <c r="X21" s="1"/>
    </row>
    <row r="22" spans="1:20" s="15" customFormat="1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2" s="4" customFormat="1" ht="12.75" customHeight="1">
      <c r="A23" s="33" t="s">
        <v>0</v>
      </c>
      <c r="B23" s="29" t="s">
        <v>41</v>
      </c>
      <c r="C23" s="30"/>
      <c r="D23" s="30"/>
      <c r="E23" s="30"/>
      <c r="F23" s="30"/>
      <c r="G23" s="30"/>
      <c r="H23" s="30"/>
      <c r="I23" s="30"/>
      <c r="J23" s="30"/>
      <c r="K23" s="29" t="s">
        <v>41</v>
      </c>
      <c r="L23" s="30"/>
      <c r="M23" s="30"/>
      <c r="N23" s="30"/>
      <c r="O23" s="30"/>
      <c r="P23" s="30"/>
      <c r="Q23" s="30"/>
      <c r="R23" s="30"/>
      <c r="S23" s="30"/>
      <c r="T23" s="31"/>
      <c r="U23" s="3"/>
      <c r="V23" s="3"/>
    </row>
    <row r="24" spans="1:22" s="4" customFormat="1" ht="23.25" customHeight="1">
      <c r="A24" s="33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0.13163524517660383</v>
      </c>
      <c r="C25" s="16">
        <f>C5/$T$5</f>
        <v>0.07670544124045926</v>
      </c>
      <c r="D25" s="17">
        <f aca="true" t="shared" si="19" ref="D25:D36">SUM(B25:C25)</f>
        <v>0.2083406864170631</v>
      </c>
      <c r="E25" s="16">
        <f>E5/$T$5</f>
        <v>0.08114012818315705</v>
      </c>
      <c r="F25" s="16">
        <f>F5/$T$5</f>
        <v>0.06982065878914205</v>
      </c>
      <c r="G25" s="17">
        <f aca="true" t="shared" si="20" ref="G25:G36">SUM(E25:F25)</f>
        <v>0.1509607869722991</v>
      </c>
      <c r="H25" s="16">
        <f>H5/$T$5</f>
        <v>0.06298311365609119</v>
      </c>
      <c r="I25" s="16">
        <f>I5/$T$5</f>
        <v>0.07504971728576512</v>
      </c>
      <c r="J25" s="17">
        <f aca="true" t="shared" si="21" ref="J25:J36">SUM(H25:I25)</f>
        <v>0.1380328309418563</v>
      </c>
      <c r="K25" s="16">
        <f>K5/$T$5</f>
        <v>0.08421350463843899</v>
      </c>
      <c r="L25" s="16">
        <f>L5/$T$5</f>
        <v>0.08024842963110199</v>
      </c>
      <c r="M25" s="17">
        <f aca="true" t="shared" si="22" ref="M25:M36">SUM(K25:L25)</f>
        <v>0.16446193426954098</v>
      </c>
      <c r="N25" s="16">
        <f>N5/$T$5</f>
        <v>0.08235536373492985</v>
      </c>
      <c r="O25" s="16">
        <f>O5/$T$5</f>
        <v>0.0733870154580107</v>
      </c>
      <c r="P25" s="17">
        <f aca="true" t="shared" si="23" ref="P25:P36">SUM(N25:O25)</f>
        <v>0.15574237919294054</v>
      </c>
      <c r="Q25" s="16">
        <f>Q5/$T$5</f>
        <v>0.06968146249854429</v>
      </c>
      <c r="R25" s="16">
        <f>R5/$T$5</f>
        <v>0.11277991970775558</v>
      </c>
      <c r="S25" s="17">
        <f aca="true" t="shared" si="24" ref="S25:S36">SUM(Q25:R25)</f>
        <v>0.18246138220629987</v>
      </c>
      <c r="T25" s="16">
        <f aca="true" t="shared" si="25" ref="T25:T36">SUM(B25+C25+E25+F25+H25+I25+K25+L25+N25+O25+Q25+R25)</f>
        <v>0.9999999999999999</v>
      </c>
      <c r="U25" s="16">
        <f aca="true" t="shared" si="26" ref="U25:U36">SUM(B25:R25)</f>
        <v>1.8175386177937</v>
      </c>
      <c r="V25" s="16">
        <f aca="true" t="shared" si="27" ref="V25:V36">U25-T25</f>
        <v>0.8175386177937002</v>
      </c>
    </row>
    <row r="26" spans="1:23" s="22" customFormat="1" ht="24.75" customHeight="1">
      <c r="A26" s="27" t="s">
        <v>39</v>
      </c>
      <c r="B26" s="19">
        <f>B6/$T$6</f>
        <v>0.21147892428503642</v>
      </c>
      <c r="C26" s="19">
        <f>C6/$T$6</f>
        <v>0.07053779513169074</v>
      </c>
      <c r="D26" s="20">
        <f t="shared" si="19"/>
        <v>0.2820167194167272</v>
      </c>
      <c r="E26" s="19">
        <f>E6/$T$6</f>
        <v>0.08034285098305294</v>
      </c>
      <c r="F26" s="19">
        <f>F6/$T$6</f>
        <v>0.048983994144087065</v>
      </c>
      <c r="G26" s="20">
        <f t="shared" si="20"/>
        <v>0.12932684512714</v>
      </c>
      <c r="H26" s="19">
        <f>H6/$T$6</f>
        <v>0.054829801106714676</v>
      </c>
      <c r="I26" s="19">
        <f>I6/$T$6</f>
        <v>0.05873062570569974</v>
      </c>
      <c r="J26" s="20">
        <f t="shared" si="21"/>
        <v>0.11356042681241442</v>
      </c>
      <c r="K26" s="19">
        <f>K6/$T$6</f>
        <v>0.06715167571409666</v>
      </c>
      <c r="L26" s="19">
        <f>L6/$T$6</f>
        <v>0.06854561625639402</v>
      </c>
      <c r="M26" s="20">
        <f t="shared" si="22"/>
        <v>0.13569729197049069</v>
      </c>
      <c r="N26" s="19">
        <f>N6/$T$6</f>
        <v>0.07000859994465215</v>
      </c>
      <c r="O26" s="19">
        <f>O6/$T$6</f>
        <v>0.07093463728780577</v>
      </c>
      <c r="P26" s="20">
        <f t="shared" si="23"/>
        <v>0.14094323723245794</v>
      </c>
      <c r="Q26" s="19">
        <f>Q6/$T$6</f>
        <v>0.07578956101993113</v>
      </c>
      <c r="R26" s="19">
        <f>R6/$T$6</f>
        <v>0.1226659184208387</v>
      </c>
      <c r="S26" s="20">
        <f t="shared" si="24"/>
        <v>0.19845547944076983</v>
      </c>
      <c r="T26" s="16">
        <f t="shared" si="25"/>
        <v>1</v>
      </c>
      <c r="U26" s="19">
        <f t="shared" si="26"/>
        <v>1.8015445205592302</v>
      </c>
      <c r="V26" s="19">
        <f t="shared" si="27"/>
        <v>0.8015445205592302</v>
      </c>
      <c r="W26" s="21"/>
    </row>
    <row r="27" spans="1:22" s="22" customFormat="1" ht="12.75" customHeight="1">
      <c r="A27" s="19" t="s">
        <v>24</v>
      </c>
      <c r="B27" s="19">
        <f>B7/$T$7</f>
        <v>0.09656836728261904</v>
      </c>
      <c r="C27" s="19">
        <f>C7/$T$7</f>
        <v>0.07567112705038131</v>
      </c>
      <c r="D27" s="20">
        <f>SUM(B27:C27)</f>
        <v>0.17223949433300034</v>
      </c>
      <c r="E27" s="19">
        <f>E7/$T$7</f>
        <v>0.0790336060777337</v>
      </c>
      <c r="F27" s="19">
        <f>F7/$T$7</f>
        <v>0.07195427697377209</v>
      </c>
      <c r="G27" s="20">
        <f t="shared" si="20"/>
        <v>0.1509878830515058</v>
      </c>
      <c r="H27" s="19">
        <f>H7/$T$7</f>
        <v>0.07427994379331986</v>
      </c>
      <c r="I27" s="19">
        <f>I7/$T$7</f>
        <v>0.0821446144157623</v>
      </c>
      <c r="J27" s="20">
        <f t="shared" si="21"/>
        <v>0.15642455820908216</v>
      </c>
      <c r="K27" s="19">
        <f>K7/$T$7</f>
        <v>0.07827877530376061</v>
      </c>
      <c r="L27" s="19">
        <f>L7/$T$7</f>
        <v>0.08219472163499711</v>
      </c>
      <c r="M27" s="20">
        <f t="shared" si="22"/>
        <v>0.16047349693875773</v>
      </c>
      <c r="N27" s="19">
        <f>N7/$T$7</f>
        <v>0.0825567069304352</v>
      </c>
      <c r="O27" s="19">
        <f>O7/$T$7</f>
        <v>0.08444996107119718</v>
      </c>
      <c r="P27" s="20">
        <f t="shared" si="23"/>
        <v>0.16700666800163239</v>
      </c>
      <c r="Q27" s="19">
        <f>Q7/$T$7</f>
        <v>0.07365568002450122</v>
      </c>
      <c r="R27" s="19">
        <f>R7/$T$7</f>
        <v>0.11921221944152043</v>
      </c>
      <c r="S27" s="20">
        <f t="shared" si="24"/>
        <v>0.19286789946602165</v>
      </c>
      <c r="T27" s="16">
        <f t="shared" si="25"/>
        <v>0.9999999999999999</v>
      </c>
      <c r="U27" s="19">
        <f t="shared" si="26"/>
        <v>1.8071321005339784</v>
      </c>
      <c r="V27" s="19">
        <f t="shared" si="27"/>
        <v>0.8071321005339785</v>
      </c>
    </row>
    <row r="28" spans="1:22" s="22" customFormat="1" ht="12.75" customHeight="1">
      <c r="A28" s="19" t="s">
        <v>25</v>
      </c>
      <c r="B28" s="19">
        <f>B8/$T$8</f>
        <v>0.11856775016720567</v>
      </c>
      <c r="C28" s="19">
        <f>C8/$T$8</f>
        <v>0.08170814618264004</v>
      </c>
      <c r="D28" s="20">
        <f t="shared" si="19"/>
        <v>0.20027589634984572</v>
      </c>
      <c r="E28" s="19">
        <f>E8/$T$8</f>
        <v>0.1102309024545048</v>
      </c>
      <c r="F28" s="19">
        <f>F8/$T$8</f>
        <v>0.0860482038238461</v>
      </c>
      <c r="G28" s="20">
        <f t="shared" si="20"/>
        <v>0.1962791062783509</v>
      </c>
      <c r="H28" s="19">
        <f>H8/$T$8</f>
        <v>0.07746512823299816</v>
      </c>
      <c r="I28" s="19">
        <f>I8/$T$8</f>
        <v>0.06371836405700543</v>
      </c>
      <c r="J28" s="20">
        <f t="shared" si="21"/>
        <v>0.1411834922900036</v>
      </c>
      <c r="K28" s="19">
        <f>K8/$T$8</f>
        <v>0.061685431040918594</v>
      </c>
      <c r="L28" s="19">
        <f>L8/$T$8</f>
        <v>0.04582667618208211</v>
      </c>
      <c r="M28" s="20">
        <f t="shared" si="22"/>
        <v>0.1075121072230007</v>
      </c>
      <c r="N28" s="19">
        <f>N8/$T$8</f>
        <v>0.044809355278629226</v>
      </c>
      <c r="O28" s="19">
        <f>O8/$T$8</f>
        <v>0.05594133927045875</v>
      </c>
      <c r="P28" s="20">
        <f t="shared" si="23"/>
        <v>0.10075069454908797</v>
      </c>
      <c r="Q28" s="19">
        <f>Q8/$T$8</f>
        <v>0.09700135358819428</v>
      </c>
      <c r="R28" s="19">
        <f>R8/$T$8</f>
        <v>0.15699734972151688</v>
      </c>
      <c r="S28" s="20">
        <f t="shared" si="24"/>
        <v>0.2539987033097112</v>
      </c>
      <c r="T28" s="16">
        <f t="shared" si="25"/>
        <v>1.0000000000000002</v>
      </c>
      <c r="U28" s="19">
        <f t="shared" si="26"/>
        <v>1.7460012966902891</v>
      </c>
      <c r="V28" s="19">
        <f t="shared" si="27"/>
        <v>0.7460012966902889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27</v>
      </c>
      <c r="B30" s="19">
        <f>B10/$T$10</f>
        <v>0.0014775913509744913</v>
      </c>
      <c r="C30" s="19">
        <f>C10/$T$10</f>
        <v>0.11678395495205192</v>
      </c>
      <c r="D30" s="20">
        <f t="shared" si="19"/>
        <v>0.1182615463030264</v>
      </c>
      <c r="E30" s="19">
        <f>E10/$T$10</f>
        <v>0.9270985092631346</v>
      </c>
      <c r="F30" s="19">
        <f>F10/$T$10</f>
        <v>-0.006353540236901209</v>
      </c>
      <c r="G30" s="20">
        <f t="shared" si="20"/>
        <v>0.9207449690262335</v>
      </c>
      <c r="H30" s="19">
        <f>H10/$T$10</f>
        <v>9.626784596779388E-05</v>
      </c>
      <c r="I30" s="19">
        <f>I10/$T$10</f>
        <v>0.0007874299511009128</v>
      </c>
      <c r="J30" s="20">
        <f t="shared" si="21"/>
        <v>0.0008836977970687067</v>
      </c>
      <c r="K30" s="19">
        <f>K10/$T$10</f>
        <v>5.9091645575865166E-05</v>
      </c>
      <c r="L30" s="19">
        <f>L10/$T$10</f>
        <v>-0.041234272869233</v>
      </c>
      <c r="M30" s="20">
        <f t="shared" si="22"/>
        <v>-0.04117518122365713</v>
      </c>
      <c r="N30" s="19">
        <f>N10/$T$10</f>
        <v>0.0009233132165307654</v>
      </c>
      <c r="O30" s="19">
        <f>O10/$T$10</f>
        <v>0.0002669506367981665</v>
      </c>
      <c r="P30" s="20">
        <f t="shared" si="23"/>
        <v>0.0011902638533289318</v>
      </c>
      <c r="Q30" s="19">
        <f>Q10/$T$10</f>
        <v>3.616298631664399E-05</v>
      </c>
      <c r="R30" s="19">
        <f>R10/$T$10</f>
        <v>5.85412576831179E-05</v>
      </c>
      <c r="S30" s="20">
        <f t="shared" si="24"/>
        <v>9.470424399976189E-05</v>
      </c>
      <c r="T30" s="16">
        <f t="shared" si="25"/>
        <v>0.9999999999999998</v>
      </c>
      <c r="U30" s="19">
        <f t="shared" si="26"/>
        <v>1.9999052957559997</v>
      </c>
      <c r="V30" s="19">
        <f t="shared" si="27"/>
        <v>0.999905295756</v>
      </c>
    </row>
    <row r="31" spans="1:22" s="22" customFormat="1" ht="12.75" customHeight="1">
      <c r="A31" s="19" t="s">
        <v>28</v>
      </c>
      <c r="B31" s="19">
        <f>B11/$T$11</f>
        <v>0.09358287946324755</v>
      </c>
      <c r="C31" s="19">
        <f>C11/$T$11</f>
        <v>0.07957126770043814</v>
      </c>
      <c r="D31" s="20">
        <f t="shared" si="19"/>
        <v>0.17315414716368568</v>
      </c>
      <c r="E31" s="19">
        <f>E11/$T$11</f>
        <v>0.0797258122456484</v>
      </c>
      <c r="F31" s="19">
        <f>F11/$T$11</f>
        <v>0.08009648779366331</v>
      </c>
      <c r="G31" s="20">
        <f t="shared" si="20"/>
        <v>0.1598223000393117</v>
      </c>
      <c r="H31" s="19">
        <f>H11/$T$11</f>
        <v>0.0661982892823831</v>
      </c>
      <c r="I31" s="19">
        <f>I11/$T$11</f>
        <v>0.08367141486259289</v>
      </c>
      <c r="J31" s="20">
        <f t="shared" si="21"/>
        <v>0.14986970414497597</v>
      </c>
      <c r="K31" s="19">
        <f>K11/$T$11</f>
        <v>0.09302414639036499</v>
      </c>
      <c r="L31" s="19">
        <f>L11/$T$11</f>
        <v>0.0869403102464961</v>
      </c>
      <c r="M31" s="20">
        <f t="shared" si="22"/>
        <v>0.1799644566368611</v>
      </c>
      <c r="N31" s="19">
        <f>N11/$T$11</f>
        <v>0.08829644109818705</v>
      </c>
      <c r="O31" s="19">
        <f>O11/$T$11</f>
        <v>0.07526921786564622</v>
      </c>
      <c r="P31" s="20">
        <f t="shared" si="23"/>
        <v>0.16356565896383327</v>
      </c>
      <c r="Q31" s="19">
        <f>Q11/$T$11</f>
        <v>0.06630639036419327</v>
      </c>
      <c r="R31" s="19">
        <f>R11/$T$11</f>
        <v>0.10731734268713888</v>
      </c>
      <c r="S31" s="20">
        <f t="shared" si="24"/>
        <v>0.17362373305133216</v>
      </c>
      <c r="T31" s="16">
        <f t="shared" si="25"/>
        <v>0.9999999999999998</v>
      </c>
      <c r="U31" s="19">
        <f t="shared" si="26"/>
        <v>1.8263762669486674</v>
      </c>
      <c r="V31" s="19">
        <f t="shared" si="27"/>
        <v>0.8263762669486676</v>
      </c>
    </row>
    <row r="32" spans="1:22" s="22" customFormat="1" ht="12.75" customHeight="1">
      <c r="A32" s="19" t="s">
        <v>29</v>
      </c>
      <c r="B32" s="19">
        <f>B12/$T$12</f>
        <v>0.07268412281008965</v>
      </c>
      <c r="C32" s="19">
        <f>C12/$T$12</f>
        <v>0.08426742696926778</v>
      </c>
      <c r="D32" s="20">
        <f t="shared" si="19"/>
        <v>0.15695154977935744</v>
      </c>
      <c r="E32" s="19">
        <f>E12/$T$12</f>
        <v>0.07358278199975449</v>
      </c>
      <c r="F32" s="19">
        <f>F12/$T$12</f>
        <v>0.07278090424617178</v>
      </c>
      <c r="G32" s="20">
        <f t="shared" si="20"/>
        <v>0.14636368624592627</v>
      </c>
      <c r="H32" s="19">
        <f>H12/$T$12</f>
        <v>0.10029551488244266</v>
      </c>
      <c r="I32" s="19">
        <f>I12/$T$12</f>
        <v>0.05532109202622928</v>
      </c>
      <c r="J32" s="20">
        <f t="shared" si="21"/>
        <v>0.15561660690867193</v>
      </c>
      <c r="K32" s="19">
        <f>K12/$T$12</f>
        <v>0.11027643493779411</v>
      </c>
      <c r="L32" s="19">
        <f>L12/$T$12</f>
        <v>0.0709953626731353</v>
      </c>
      <c r="M32" s="20">
        <f t="shared" si="22"/>
        <v>0.18127179761092943</v>
      </c>
      <c r="N32" s="19">
        <f>N12/$T$12</f>
        <v>0.1491427344143603</v>
      </c>
      <c r="O32" s="19">
        <f>O12/$T$12</f>
        <v>0.03794507926344472</v>
      </c>
      <c r="P32" s="20">
        <f t="shared" si="23"/>
        <v>0.18708781367780503</v>
      </c>
      <c r="Q32" s="19">
        <f>Q12/$T$12</f>
        <v>0.06595688594651089</v>
      </c>
      <c r="R32" s="19">
        <f>R12/$T$12</f>
        <v>0.10675165983079911</v>
      </c>
      <c r="S32" s="20">
        <f t="shared" si="24"/>
        <v>0.17270854577730999</v>
      </c>
      <c r="T32" s="16">
        <f t="shared" si="25"/>
        <v>1.0000000000000002</v>
      </c>
      <c r="U32" s="19">
        <f t="shared" si="26"/>
        <v>1.8272914542226903</v>
      </c>
      <c r="V32" s="19">
        <f t="shared" si="27"/>
        <v>0.8272914542226901</v>
      </c>
    </row>
    <row r="33" spans="1:22" s="18" customFormat="1" ht="12.75" customHeight="1">
      <c r="A33" s="16" t="s">
        <v>30</v>
      </c>
      <c r="B33" s="16">
        <f>B13/$T$13</f>
        <v>0.10389481444292781</v>
      </c>
      <c r="C33" s="16">
        <f>C13/$T$13</f>
        <v>0.10149236501836062</v>
      </c>
      <c r="D33" s="17">
        <f t="shared" si="19"/>
        <v>0.20538717946128843</v>
      </c>
      <c r="E33" s="16">
        <f>E13/$T$13</f>
        <v>0.10800421438990439</v>
      </c>
      <c r="F33" s="16">
        <f>F13/$T$13</f>
        <v>0.2500076938823497</v>
      </c>
      <c r="G33" s="17">
        <f t="shared" si="20"/>
        <v>0.3580119082722541</v>
      </c>
      <c r="H33" s="16">
        <f>H13/$T$13</f>
        <v>0.008246195056031124</v>
      </c>
      <c r="I33" s="16">
        <f>I13/$T$13</f>
        <v>0.011956000763604566</v>
      </c>
      <c r="J33" s="17">
        <f t="shared" si="21"/>
        <v>0.020202195819635692</v>
      </c>
      <c r="K33" s="16">
        <f>K13/$T$13</f>
        <v>0.019094244518601085</v>
      </c>
      <c r="L33" s="16">
        <f>L13/$T$13</f>
        <v>0.06208779650907409</v>
      </c>
      <c r="M33" s="17">
        <f t="shared" si="22"/>
        <v>0.08118204102767518</v>
      </c>
      <c r="N33" s="16">
        <f>N13/$T$13</f>
        <v>-0.06971560804292697</v>
      </c>
      <c r="O33" s="16">
        <f>O13/$T$13</f>
        <v>0.034565909792520985</v>
      </c>
      <c r="P33" s="17">
        <f t="shared" si="23"/>
        <v>-0.03514969825040598</v>
      </c>
      <c r="Q33" s="16">
        <f>Q13/$T$13</f>
        <v>0.14144182241192474</v>
      </c>
      <c r="R33" s="16">
        <f>R13/$T$13</f>
        <v>0.22892455125762798</v>
      </c>
      <c r="S33" s="17">
        <f t="shared" si="24"/>
        <v>0.3703663736695527</v>
      </c>
      <c r="T33" s="16">
        <f t="shared" si="25"/>
        <v>1</v>
      </c>
      <c r="U33" s="16">
        <f t="shared" si="26"/>
        <v>1.6296336263304474</v>
      </c>
      <c r="V33" s="16">
        <f t="shared" si="27"/>
        <v>0.6296336263304474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</v>
      </c>
      <c r="D34" s="20">
        <f t="shared" si="19"/>
        <v>0</v>
      </c>
      <c r="E34" s="19">
        <f>E14/$T$14</f>
        <v>0</v>
      </c>
      <c r="F34" s="19">
        <f>F14/$T$14</f>
        <v>0.6888200490504357</v>
      </c>
      <c r="G34" s="20">
        <f t="shared" si="20"/>
        <v>0.6888200490504357</v>
      </c>
      <c r="H34" s="19">
        <f>H14/$T$14</f>
        <v>0.01234689791016795</v>
      </c>
      <c r="I34" s="19">
        <f>I14/$T$14</f>
        <v>0</v>
      </c>
      <c r="J34" s="20">
        <f t="shared" si="21"/>
        <v>0.01234689791016795</v>
      </c>
      <c r="K34" s="19">
        <f>K14/$T$14</f>
        <v>0.030144767759210038</v>
      </c>
      <c r="L34" s="19">
        <f>L14/$T$14</f>
        <v>0.20143677412378416</v>
      </c>
      <c r="M34" s="20">
        <f t="shared" si="22"/>
        <v>0.2315815418829942</v>
      </c>
      <c r="N34" s="19">
        <f>N14/$T$14</f>
        <v>-0.37281184890306474</v>
      </c>
      <c r="O34" s="19">
        <f>O14/$T$14</f>
        <v>0.08737639483513654</v>
      </c>
      <c r="P34" s="20">
        <f t="shared" si="23"/>
        <v>-0.2854354540679282</v>
      </c>
      <c r="Q34" s="19">
        <f>Q14/$T$14</f>
        <v>0.13469010928221256</v>
      </c>
      <c r="R34" s="19">
        <f>R14/$T$14</f>
        <v>0.21799685594211785</v>
      </c>
      <c r="S34" s="20">
        <f t="shared" si="24"/>
        <v>0.3526869652243304</v>
      </c>
      <c r="T34" s="16">
        <f t="shared" si="25"/>
        <v>1.0000000000000002</v>
      </c>
      <c r="U34" s="19">
        <f t="shared" si="26"/>
        <v>1.6473130347756697</v>
      </c>
      <c r="V34" s="19">
        <f t="shared" si="27"/>
        <v>0.6473130347756695</v>
      </c>
    </row>
    <row r="35" spans="1:22" s="22" customFormat="1" ht="12.75" customHeight="1">
      <c r="A35" s="19" t="s">
        <v>32</v>
      </c>
      <c r="B35" s="19">
        <f>B15/$T$15</f>
        <v>0.0016991246995018742</v>
      </c>
      <c r="C35" s="19">
        <f>C15/$T$15</f>
        <v>0.023770194697203966</v>
      </c>
      <c r="D35" s="20">
        <f t="shared" si="19"/>
        <v>0.02546931939670584</v>
      </c>
      <c r="E35" s="19">
        <f>E15/$T$15</f>
        <v>0.0026133678032507044</v>
      </c>
      <c r="F35" s="19">
        <f>F15/$T$15</f>
        <v>0.0008588029868778025</v>
      </c>
      <c r="G35" s="20">
        <f t="shared" si="20"/>
        <v>0.003472170790128507</v>
      </c>
      <c r="H35" s="19">
        <f>H15/$T$15</f>
        <v>0.001487688842017943</v>
      </c>
      <c r="I35" s="19">
        <f>I15/$T$15</f>
        <v>0.0009903102052792232</v>
      </c>
      <c r="J35" s="20">
        <f t="shared" si="21"/>
        <v>0.002477999047297166</v>
      </c>
      <c r="K35" s="19">
        <f>K15/$T$15</f>
        <v>0.0010834392251300887</v>
      </c>
      <c r="L35" s="19">
        <f>L15/$T$15</f>
        <v>0.0010619450621720701</v>
      </c>
      <c r="M35" s="20">
        <f t="shared" si="22"/>
        <v>0.002145384287302159</v>
      </c>
      <c r="N35" s="19">
        <f>N15/$T$15</f>
        <v>0.0011673405784696654</v>
      </c>
      <c r="O35" s="19">
        <f>O15/$T$15</f>
        <v>0.0010330168835427091</v>
      </c>
      <c r="P35" s="20">
        <f t="shared" si="23"/>
        <v>0.0022003574620123745</v>
      </c>
      <c r="Q35" s="19">
        <f>Q15/$T$15</f>
        <v>0.3682384074446946</v>
      </c>
      <c r="R35" s="19">
        <f>R15/$T$15</f>
        <v>0.5959963615718594</v>
      </c>
      <c r="S35" s="20">
        <f t="shared" si="24"/>
        <v>0.964234769016554</v>
      </c>
      <c r="T35" s="16">
        <f t="shared" si="25"/>
        <v>1</v>
      </c>
      <c r="U35" s="19">
        <f t="shared" si="26"/>
        <v>1.0357652309834462</v>
      </c>
      <c r="V35" s="19">
        <f t="shared" si="27"/>
        <v>0.035765230983446195</v>
      </c>
    </row>
    <row r="36" spans="1:22" s="22" customFormat="1" ht="12.75" customHeight="1">
      <c r="A36" s="19" t="s">
        <v>35</v>
      </c>
      <c r="B36" s="19">
        <f>B16/$T$16</f>
        <v>0.2261096200986329</v>
      </c>
      <c r="C36" s="19">
        <f>C16/$T$16</f>
        <v>0.0026263650913358116</v>
      </c>
      <c r="D36" s="20">
        <f t="shared" si="19"/>
        <v>0.2287359851899687</v>
      </c>
      <c r="E36" s="19">
        <f>E16/$T$16</f>
        <v>0.0026263650913358116</v>
      </c>
      <c r="F36" s="19">
        <f>F16/$T$16</f>
        <v>0.0011317975166248953</v>
      </c>
      <c r="G36" s="20">
        <f t="shared" si="20"/>
        <v>0.0037581626079607067</v>
      </c>
      <c r="H36" s="19">
        <f>H16/$T$16</f>
        <v>0.0011317975166248953</v>
      </c>
      <c r="I36" s="19">
        <f>I16/$T$16</f>
        <v>0.16681181224373728</v>
      </c>
      <c r="J36" s="20">
        <f t="shared" si="21"/>
        <v>0.16794360976036218</v>
      </c>
      <c r="K36" s="19">
        <f>K16/$T$16</f>
        <v>0.04745663264213995</v>
      </c>
      <c r="L36" s="19">
        <f>L16/$T$16</f>
        <v>0.0011317975166248953</v>
      </c>
      <c r="M36" s="20">
        <f t="shared" si="22"/>
        <v>0.04858843015876484</v>
      </c>
      <c r="N36" s="19">
        <f>N16/$T$16</f>
        <v>0.16682781017797588</v>
      </c>
      <c r="O36" s="19">
        <f>O16/$T$16</f>
        <v>0.3146264155636917</v>
      </c>
      <c r="P36" s="20">
        <f t="shared" si="23"/>
        <v>0.4814542257416676</v>
      </c>
      <c r="Q36" s="19">
        <f>Q16/$T$16</f>
        <v>0.026549360499478036</v>
      </c>
      <c r="R36" s="19">
        <f>R16/$T$16</f>
        <v>0.042970226041797864</v>
      </c>
      <c r="S36" s="20">
        <f t="shared" si="24"/>
        <v>0.06951958654127591</v>
      </c>
      <c r="T36" s="16">
        <f t="shared" si="25"/>
        <v>1</v>
      </c>
      <c r="U36" s="19">
        <f t="shared" si="26"/>
        <v>1.930480413458724</v>
      </c>
      <c r="V36" s="19">
        <f t="shared" si="27"/>
        <v>0.9304804134587239</v>
      </c>
    </row>
    <row r="37" spans="1:22" s="22" customFormat="1" ht="12.75" customHeight="1">
      <c r="A37" s="12" t="s">
        <v>34</v>
      </c>
      <c r="B37" s="19">
        <f>B17/$T$17</f>
        <v>0.1429360494945526</v>
      </c>
      <c r="C37" s="19">
        <f>C17/$T$17</f>
        <v>0.13809712619275835</v>
      </c>
      <c r="D37" s="20">
        <f>SUM(B37:C37)</f>
        <v>0.28103317568731095</v>
      </c>
      <c r="E37" s="19">
        <f>E17/$T$17</f>
        <v>0.14883608042576174</v>
      </c>
      <c r="F37" s="19">
        <f>F17/$T$17</f>
        <v>0.14112360143389832</v>
      </c>
      <c r="G37" s="20">
        <f>SUM(E37:F37)</f>
        <v>0.28995968185966003</v>
      </c>
      <c r="H37" s="19">
        <f>H17/$T$17</f>
        <v>0.007602057757289714</v>
      </c>
      <c r="I37" s="19">
        <f>I17/$T$17</f>
        <v>0.01619121689406762</v>
      </c>
      <c r="J37" s="20">
        <f>SUM(H37:I37)</f>
        <v>0.023793274651357332</v>
      </c>
      <c r="K37" s="19">
        <f>K17/$T$17</f>
        <v>0.017276969336622868</v>
      </c>
      <c r="L37" s="19">
        <f>L17/$T$17</f>
        <v>0.025987682484523152</v>
      </c>
      <c r="M37" s="20">
        <f>SUM(K37:L37)</f>
        <v>0.04326465182114602</v>
      </c>
      <c r="N37" s="19">
        <f>N17/$T$17</f>
        <v>0.013785777011599101</v>
      </c>
      <c r="O37" s="19">
        <f>O17/$T$17</f>
        <v>0.02133344751735657</v>
      </c>
      <c r="P37" s="20">
        <f>SUM(N37:O37)</f>
        <v>0.03511922452895567</v>
      </c>
      <c r="Q37" s="19">
        <f>Q17/$T$17</f>
        <v>0.12481540645370534</v>
      </c>
      <c r="R37" s="19">
        <f>R17/$T$17</f>
        <v>0.2020145849978647</v>
      </c>
      <c r="S37" s="20">
        <f>SUM(Q37:R37)</f>
        <v>0.32682999145157005</v>
      </c>
      <c r="T37" s="16">
        <f>SUM(B37+C37+E37+F37+H37+I37+K37+L37+N37+O37+Q37+R37)</f>
        <v>1</v>
      </c>
      <c r="U37" s="19">
        <f>SUM(B37:R37)</f>
        <v>1.6731700085484298</v>
      </c>
      <c r="V37" s="19">
        <f>U37-T37</f>
        <v>0.6731700085484298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  <row r="40" ht="11.25">
      <c r="C40" s="28"/>
    </row>
  </sheetData>
  <sheetProtection/>
  <mergeCells count="13"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2020-11-11T11:49:08Z</cp:lastPrinted>
  <dcterms:created xsi:type="dcterms:W3CDTF">2005-01-14T10:04:29Z</dcterms:created>
  <dcterms:modified xsi:type="dcterms:W3CDTF">2020-11-25T11:46:32Z</dcterms:modified>
  <cp:category/>
  <cp:version/>
  <cp:contentType/>
  <cp:contentStatus/>
  <cp:revision>2</cp:revision>
</cp:coreProperties>
</file>