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nexo III Prev. da Rec. e Despe" sheetId="1" r:id="rId1"/>
    <sheet name="Anexo IV RCL" sheetId="2" r:id="rId2"/>
    <sheet name="Anexo VI Despesas com Educação" sheetId="3" r:id="rId3"/>
    <sheet name="Anexo VI Despesas com Saúde" sheetId="4" r:id="rId4"/>
    <sheet name="Anexo VII Despesa com Pessoal" sheetId="5" r:id="rId5"/>
    <sheet name="Anexo IX Orçamento Consolidado" sheetId="6" r:id="rId6"/>
    <sheet name="Anexo X Renúncia da Receita" sheetId="7" r:id="rId7"/>
    <sheet name="Anexo XI Resultado Primário" sheetId="8" r:id="rId8"/>
    <sheet name="Anexo XII Resultado Nominal" sheetId="9" r:id="rId9"/>
    <sheet name="Anexo XIII DOCC" sheetId="10" r:id="rId10"/>
    <sheet name="Dívida Pública" sheetId="11" state="hidden" r:id="rId11"/>
    <sheet name="Anexo XIV" sheetId="12" r:id="rId12"/>
    <sheet name="Anexo XV" sheetId="13" r:id="rId13"/>
    <sheet name="Plan1" sheetId="14" r:id="rId14"/>
  </sheets>
  <externalReferences>
    <externalReference r:id="rId17"/>
  </externalReferences>
  <definedNames>
    <definedName name="_xlnm.Print_Area" localSheetId="0">'Anexo III Prev. da Rec. e Despe'!$A$1:$H$34</definedName>
    <definedName name="Excel_BuiltIn_Print_Titles_5___5">'Anexo VII Despesa com Pessoal'!$1:$6</definedName>
    <definedName name="_xlnm.Print_Titles" localSheetId="4">'Anexo VII Despesa com Pessoal'!$1:$6</definedName>
    <definedName name="_xlnm.Print_Titles" localSheetId="6">'Anexo X Renúncia da Receita'!$1:$6</definedName>
    <definedName name="_xlnm.Print_Titles" localSheetId="7">'Anexo XI Resultado Primário'!$1:$7</definedName>
  </definedNames>
  <calcPr fullCalcOnLoad="1"/>
</workbook>
</file>

<file path=xl/sharedStrings.xml><?xml version="1.0" encoding="utf-8"?>
<sst xmlns="http://schemas.openxmlformats.org/spreadsheetml/2006/main" count="493" uniqueCount="406">
  <si>
    <t>Prefeitura Municipal de Santa Maria</t>
  </si>
  <si>
    <t>Lei Orçamentária Anual</t>
  </si>
  <si>
    <t xml:space="preserve"> </t>
  </si>
  <si>
    <t>Previsão da Receita e da Despesa</t>
  </si>
  <si>
    <r>
      <rPr>
        <sz val="8"/>
        <rFont val="Calibri"/>
        <family val="2"/>
      </rPr>
      <t>(Art. 12 da LC nº 101/2000 e art.  22, III, "a", "b" e "c" da Lei nº 4.320/64 )</t>
    </r>
  </si>
  <si>
    <t>Fontes de Receita</t>
  </si>
  <si>
    <t>Receitas Já arrecadadas</t>
  </si>
  <si>
    <t xml:space="preserve">Previsão até o Término de </t>
  </si>
  <si>
    <t>Projeção para o exercício que se refere a Proposta</t>
  </si>
  <si>
    <t>RECEITA TOTAL</t>
  </si>
  <si>
    <t>1. RECEITAS CORRENTES</t>
  </si>
  <si>
    <t>RECEITA PATRIMONIAL</t>
  </si>
  <si>
    <t>RECEITA DE SERVIÇOS</t>
  </si>
  <si>
    <t>TRANSFERÊNCIAS CORRENTES</t>
  </si>
  <si>
    <t>OUTRAS RECEITAS CORRENTES</t>
  </si>
  <si>
    <t>2. RECEITAS DE CAPITAL</t>
  </si>
  <si>
    <t>OPERAÇÕES DE CRÉDITO</t>
  </si>
  <si>
    <t>ALIENAÇÃO DE BENS</t>
  </si>
  <si>
    <t>AMORTIZAÇÃO DE EMPRÉSTIMOS</t>
  </si>
  <si>
    <t>TRANSFERÊNCIAS DE CAPITAL</t>
  </si>
  <si>
    <t>OUTRAS RECEITAS DE CAPITAL</t>
  </si>
  <si>
    <t>7. RECEITAS CORRENTES INTRA</t>
  </si>
  <si>
    <t>DEDUÇÃO FUNDEB</t>
  </si>
  <si>
    <t>DESPESAS</t>
  </si>
  <si>
    <t>Despesas Realizadas</t>
  </si>
  <si>
    <t>Despesas Correntes</t>
  </si>
  <si>
    <t>Despesas de Capital</t>
  </si>
  <si>
    <t>Reserva de Contingência</t>
  </si>
  <si>
    <t>Prefeitura Municipal de Santa Maria</t>
  </si>
  <si>
    <t>Lei Orçamentária Anual</t>
  </si>
  <si>
    <t>Demonstrativo da Receita Corrente Líquida</t>
  </si>
  <si>
    <t>Descrição</t>
  </si>
  <si>
    <t>Valor</t>
  </si>
  <si>
    <t>I - RECEITAS CORRENTES</t>
  </si>
  <si>
    <t>II – DEDUÇÕES</t>
  </si>
  <si>
    <t>IRRF sobre Rendimento do Trabalho</t>
  </si>
  <si>
    <t>Cancelamento de restos a pagar (quando lançado ainda como receita)</t>
  </si>
  <si>
    <t xml:space="preserve"> </t>
  </si>
  <si>
    <r>
      <rPr>
        <sz val="10"/>
        <rFont val="Calibri"/>
        <family val="2"/>
      </rPr>
      <t>Deduções de receitas de Fundo (caracteristica peculiar 105)</t>
    </r>
  </si>
  <si>
    <t>Contribuições dos Servidores Ativos/Inativos/Pensionistas</t>
  </si>
  <si>
    <t>Compensações Financeiras entre o RGPS e o RPPS</t>
  </si>
  <si>
    <r>
      <rPr>
        <sz val="10"/>
        <rFont val="Calibri"/>
        <family val="2"/>
      </rPr>
      <t>Receitas do RPPS – Aplicações em Títulos, Rem. e Outras Receitas</t>
    </r>
  </si>
  <si>
    <t>Outras Contribuições Sociais</t>
  </si>
  <si>
    <t>Outras Deduções de Receitas (CP 101, 102, 103, 104, 106, 108 e 109)</t>
  </si>
  <si>
    <t>V - RECEITA CORRENTE LÍQUIDA (I-II)</t>
  </si>
  <si>
    <t>Prefeitura Municipal de Santa Maria</t>
  </si>
  <si>
    <t>Lei Orçamentária Anual</t>
  </si>
  <si>
    <t>Demonstrativo da Previsão de Aplicação de Recursos na Manutenção e Desenvolvimento do Ensino</t>
  </si>
  <si>
    <r>
      <rPr>
        <sz val="8"/>
        <rFont val="Calibri"/>
        <family val="2"/>
      </rPr>
      <t>(Art. 212 da  Constituição Federal)</t>
    </r>
  </si>
  <si>
    <t>ESPECIFICAÇÃO</t>
  </si>
  <si>
    <t>PREVISÃO</t>
  </si>
  <si>
    <t>ESPECIFICAÇÃO</t>
  </si>
  <si>
    <t>GASTOS MDE</t>
  </si>
  <si>
    <t>GASTOS FUNDEB</t>
  </si>
  <si>
    <t>I P T U</t>
  </si>
  <si>
    <t>ENSINO FUNDAMENTAL</t>
  </si>
  <si>
    <t>I T B I</t>
  </si>
  <si>
    <t>ENSINO MÉDIO</t>
  </si>
  <si>
    <t>ENSINO PROFISSIONAL</t>
  </si>
  <si>
    <t>I R R F</t>
  </si>
  <si>
    <t>ENSINO SUPERIOR</t>
  </si>
  <si>
    <t>EDUCAÇÃO INFANTIL</t>
  </si>
  <si>
    <t>EDUC.JOVENS E ADULT</t>
  </si>
  <si>
    <t>F P M</t>
  </si>
  <si>
    <t>EDUCAÇÃO ESPECIAL</t>
  </si>
  <si>
    <t>I T R</t>
  </si>
  <si>
    <t>LC  87/96</t>
  </si>
  <si>
    <t>OUTRAS SUBFUNÇÕES</t>
  </si>
  <si>
    <t>I C M S</t>
  </si>
  <si>
    <t>I P V A</t>
  </si>
  <si>
    <t>IPI / EXPORTAÇÃO</t>
  </si>
  <si>
    <t>SUB TOTAL</t>
  </si>
  <si>
    <t>RETORNO DO FUNDEB</t>
  </si>
  <si>
    <t>(-) CONTRIBUIÇÃO P/ O FUNDEB</t>
  </si>
  <si>
    <t>Rendimentos de Aplicações Financeiras</t>
  </si>
  <si>
    <t>MÍNIMO A APLICAR</t>
  </si>
  <si>
    <t>TOTAL  FIXADO</t>
  </si>
  <si>
    <t>TOTAL GERAL</t>
  </si>
  <si>
    <t>Prefeitura Municipal de Santa Maria</t>
  </si>
  <si>
    <t>Lei Orçamentária Anual</t>
  </si>
  <si>
    <t>Demonstrativo da Previsão de Aplicação de Recursos em Ações e Serviços Públicos de Saúde</t>
  </si>
  <si>
    <r>
      <rPr>
        <sz val="8"/>
        <rFont val="Calibri"/>
        <family val="2"/>
      </rPr>
      <t>(Art. 198 da Constituição Federal)</t>
    </r>
  </si>
  <si>
    <t>ESPECIFICAÇÃO</t>
  </si>
  <si>
    <t>PREVISÃO</t>
  </si>
  <si>
    <t>ESPECIFICAÇÃO</t>
  </si>
  <si>
    <t>GASTOS  A S P S</t>
  </si>
  <si>
    <t>I P T U</t>
  </si>
  <si>
    <t>ATENÇÃO BÁSICA</t>
  </si>
  <si>
    <t>I T B I</t>
  </si>
  <si>
    <t>ASSIST.HOSPITALAR E AMBULAT.</t>
  </si>
  <si>
    <t>SUPORTE PROFILÁTICO E TERAP.</t>
  </si>
  <si>
    <t>I R R F</t>
  </si>
  <si>
    <t>VIGILÂNCIA SANITÁRIA</t>
  </si>
  <si>
    <t>VIGILÂNCIA EPIDEMIOLÓGICA</t>
  </si>
  <si>
    <t>ALIMENTAÇÃO E NUTRIÇÃO</t>
  </si>
  <si>
    <t>F P M</t>
  </si>
  <si>
    <t>I T R</t>
  </si>
  <si>
    <t>LC  87/96</t>
  </si>
  <si>
    <t>OUTRAS SUBFUNÇÕES</t>
  </si>
  <si>
    <t>I C M S</t>
  </si>
  <si>
    <t>I P V A</t>
  </si>
  <si>
    <t>IPI / EXPORTAÇÃO</t>
  </si>
  <si>
    <t>Rendimentos de Aplicações Financeiras</t>
  </si>
  <si>
    <t xml:space="preserve"> </t>
  </si>
  <si>
    <t>MÍNIMO A APLICAR</t>
  </si>
  <si>
    <t>TOTAL  FIXADO</t>
  </si>
  <si>
    <t>Prefeitura Municipal de Santa Maria</t>
  </si>
  <si>
    <t>Lei Orçamentária Anual</t>
  </si>
  <si>
    <t>Demonstrativo da Despesa com Pessoal do Poder Executivo e do Legislativo</t>
  </si>
  <si>
    <t>Discriminação</t>
  </si>
  <si>
    <t>Poder Executivo</t>
  </si>
  <si>
    <t>Poder Legislativo</t>
  </si>
  <si>
    <t>Consolidado</t>
  </si>
  <si>
    <t>Despesa</t>
  </si>
  <si>
    <t>Valor</t>
  </si>
  <si>
    <t>Despesa</t>
  </si>
  <si>
    <t>Valor</t>
  </si>
  <si>
    <t>PESSOAL E ENCARGOS</t>
  </si>
  <si>
    <t>3.1.0.0.00.00.00.00</t>
  </si>
  <si>
    <t>3.1.0.0.00.00.00.00</t>
  </si>
  <si>
    <t>(-) Pensões</t>
  </si>
  <si>
    <t>(3.1.9.0.03.00.00.00.00)</t>
  </si>
  <si>
    <t>(3.1.9.0.03.00.00.00.00)</t>
  </si>
  <si>
    <t>(-) Férias Indenizadas (decorrentes de exoneração)</t>
  </si>
  <si>
    <t>(3.1.9.0.11.42.00.00.00)</t>
  </si>
  <si>
    <t>(3.1.9.0.11.42.00.00.00)</t>
  </si>
  <si>
    <t>(-) Representação Mensal (indenizatório)</t>
  </si>
  <si>
    <t>(3.1.9.0.11.75.00.00.00)</t>
  </si>
  <si>
    <t>(-) Abono de Permanência</t>
  </si>
  <si>
    <t>(3.1.9.0.11.07.00.00.00)</t>
  </si>
  <si>
    <t>(3.1.9.0.11.07.00.00.00)</t>
  </si>
  <si>
    <t>(-) INSS s/Sessões Extraordinárias – Agentes Políticos</t>
  </si>
  <si>
    <t>(3.1.9.0.13.02.04.00.00)</t>
  </si>
  <si>
    <t>(-) INSS s/Convocação Extraordinária – Agentes Políticos</t>
  </si>
  <si>
    <t>(3.1.9.0.13.02.05.00.00)</t>
  </si>
  <si>
    <t>(-) Convocação Extraordinária – Agentes Políticos</t>
  </si>
  <si>
    <t>(3.1.9.0.16.04.00.00.00)</t>
  </si>
  <si>
    <t>(-) Ajuda de Custo</t>
  </si>
  <si>
    <t>(3.1.9.0.16.99.01.00.00)</t>
  </si>
  <si>
    <t>(3.1.9.0.16.99.01.00.00)</t>
  </si>
  <si>
    <t>(-) Remoções</t>
  </si>
  <si>
    <t>(3.1.9.0.16.99.02.00.00)</t>
  </si>
  <si>
    <t>(3.1.9.0.16.99.02.00.00)</t>
  </si>
  <si>
    <r>
      <rPr>
        <sz val="8"/>
        <rFont val="Calibri"/>
        <family val="2"/>
      </rPr>
      <t>(-) Sessão Extraordinária – Agentes Políticos (competência do Leg.)</t>
    </r>
  </si>
  <si>
    <t>(3.1.9.0.16.99.03.00.00)</t>
  </si>
  <si>
    <t>(-) Obrigações Tributárias e Contributivas</t>
  </si>
  <si>
    <t>(3.1.9.0.47.00.00.00.00)</t>
  </si>
  <si>
    <t>(3.1.9.0.47.00.00.00.00)</t>
  </si>
  <si>
    <t>(-) Precatórios – Pensionista Civil</t>
  </si>
  <si>
    <t>(3.1.9.0.91.36.00.00.00)</t>
  </si>
  <si>
    <t>(3.1.9.0.91.36.00.00.00)</t>
  </si>
  <si>
    <t>(-) Pensionista Civil</t>
  </si>
  <si>
    <t>(3.1.9.0.92.12.00.00.00)</t>
  </si>
  <si>
    <t>(3.1.9.0.92.12.00.00.00)</t>
  </si>
  <si>
    <r>
      <rPr>
        <sz val="8"/>
        <rFont val="Calibri"/>
        <family val="2"/>
      </rPr>
      <t>(-) Gratificação Tempo de Serv.- Anuênio Pensionista Civil</t>
    </r>
  </si>
  <si>
    <t>(3.1.9.0.92.25.00.00.00)</t>
  </si>
  <si>
    <t>(3.1.9.0.92.25.00.00.00)</t>
  </si>
  <si>
    <t>(-) Indenizações Trabalhistas</t>
  </si>
  <si>
    <t>(3.1.9.0.94.00.00.00.00)</t>
  </si>
  <si>
    <t>(3.1.9.0.94.00.00.00.00)</t>
  </si>
  <si>
    <r>
      <rPr>
        <sz val="8"/>
        <rFont val="Calibri"/>
        <family val="2"/>
      </rPr>
      <t>(-) Contribuições Patronais para RPPS - saúde</t>
    </r>
  </si>
  <si>
    <t>(3.1.9.1.13.08.01.00.00)</t>
  </si>
  <si>
    <t>(3.3.1.9.1.13.03.03.00)</t>
  </si>
  <si>
    <t>(-) Plano de Seguridade Social do Pensionista</t>
  </si>
  <si>
    <t>(3.1.9.1.12.12.00.00.00)</t>
  </si>
  <si>
    <t>(3.1.9.1.12.12.00.00.00)</t>
  </si>
  <si>
    <t>(-) Amortização do Passivo Atuarial com o RPPS</t>
  </si>
  <si>
    <t>(3.1.9.1.13.99.01.00.00)</t>
  </si>
  <si>
    <t>(3.1.9.1.13.99.01.00.00)</t>
  </si>
  <si>
    <r>
      <rPr>
        <sz val="8"/>
        <rFont val="Calibri"/>
        <family val="2"/>
      </rPr>
      <t>(-) IRRF s/Rend. do Trabalho – At./Inat. - Exec/ Indiretas</t>
    </r>
  </si>
  <si>
    <r>
      <rPr>
        <sz val="8"/>
        <rFont val="Calibri"/>
        <family val="2"/>
      </rPr>
      <t xml:space="preserve">(-) IRRF s/Rend. do Trabalho – At./Inat. - Legislativo </t>
    </r>
  </si>
  <si>
    <t>(1.1.1.2.04.31.02.00.00)</t>
  </si>
  <si>
    <t>Repasse Previdenciário Concedido p/Cobertura de Déficit Aposentadorias Executivo/Indiretas</t>
  </si>
  <si>
    <t>5.1.2.1.7.04.01.01.00.00</t>
  </si>
  <si>
    <t xml:space="preserve">Repasse Previdenciário Concedido p/Cobertura de Déficit </t>
  </si>
  <si>
    <t>Aposentadorias Legislativo</t>
  </si>
  <si>
    <t>5.1.2.1.7.04.01.02.00.00</t>
  </si>
  <si>
    <t>Repasse Concedido ao RPPS p/Pagamento de Aposentadorias - Executivo/Indiretas</t>
  </si>
  <si>
    <t>5.1.2.1.7.99.00.02.00.00</t>
  </si>
  <si>
    <t>Repasse Concedido ao RPPS p/Pagamento de Aposentadorias - Legislativo</t>
  </si>
  <si>
    <t>5.1.2.1.7.99.00.03.00.00</t>
  </si>
  <si>
    <t>Total da Despesa com Pessoal Poder Executivo</t>
  </si>
  <si>
    <t>Estimativa e Compensação da Renúncia da Receita</t>
  </si>
  <si>
    <t>SETOR / PROGRAMA / BENEFICIÁRIO</t>
  </si>
  <si>
    <t>IPTU</t>
  </si>
  <si>
    <t>ISS</t>
  </si>
  <si>
    <t>ITBI</t>
  </si>
  <si>
    <t>Taxas</t>
  </si>
  <si>
    <t>TOTAL</t>
  </si>
  <si>
    <t>Metas Anuais para o Resultado Primário</t>
  </si>
  <si>
    <t>RECEITAS CORRENTES ( I )</t>
  </si>
  <si>
    <t xml:space="preserve">  Receita de Contribuição </t>
  </si>
  <si>
    <t xml:space="preserve">       Outras Contribuições</t>
  </si>
  <si>
    <t xml:space="preserve">  Receita Patrimonial Líquida</t>
  </si>
  <si>
    <t xml:space="preserve">       Receita Patrimonial</t>
  </si>
  <si>
    <t xml:space="preserve">       (-) Aplicações Financeiras</t>
  </si>
  <si>
    <t xml:space="preserve">  Transferências Correntes</t>
  </si>
  <si>
    <t xml:space="preserve">  Demais Receitas Correntes</t>
  </si>
  <si>
    <t xml:space="preserve">      Dívida Ativa</t>
  </si>
  <si>
    <t xml:space="preserve">      Diversas Receita Correntes</t>
  </si>
  <si>
    <t>RECEITAS DE CAPITAL ( II )</t>
  </si>
  <si>
    <t>Operações de Crédito ( III )</t>
  </si>
  <si>
    <t>Amortização de Empréstimos ( IV)</t>
  </si>
  <si>
    <t>Alienação de Bens ( V )</t>
  </si>
  <si>
    <t>Transferência de Capital</t>
  </si>
  <si>
    <t xml:space="preserve">       Convênios</t>
  </si>
  <si>
    <t xml:space="preserve">       Outras Transferência de Capital</t>
  </si>
  <si>
    <t>Outras Receitas de Capital</t>
  </si>
  <si>
    <t>DESPESAS CORRENTES ( VIII )</t>
  </si>
  <si>
    <t xml:space="preserve">  Pessoal e Encargos Sociais</t>
  </si>
  <si>
    <t xml:space="preserve">  Juros e Encargos da Dívida ( IX )</t>
  </si>
  <si>
    <t xml:space="preserve">  Outras Despesas Correntes</t>
  </si>
  <si>
    <t>DESPESAS FISCAIS CORRENTES ( X ) = ( VIII – IX )</t>
  </si>
  <si>
    <t>DESPESAS DE CAPITAL ( XI )</t>
  </si>
  <si>
    <t xml:space="preserve">  Investimentos</t>
  </si>
  <si>
    <t xml:space="preserve">  Inversões Financeiras</t>
  </si>
  <si>
    <t xml:space="preserve">       Concessão de Empréstimos (XII)</t>
  </si>
  <si>
    <t xml:space="preserve">       Aquisição de Título de Capital  Integralizado (XIII)</t>
  </si>
  <si>
    <t xml:space="preserve">       Demais Inversões Financeiras</t>
  </si>
  <si>
    <t>Amortização da Dívida ( XIV )</t>
  </si>
  <si>
    <t>DESP. FISCAIS DE CAPITAL ( XV ) = ( XI – XII-XII-XIV )</t>
  </si>
  <si>
    <t>Prefeitura Municipal de Santa Maria</t>
  </si>
  <si>
    <t>Lei Orçamentária Anual</t>
  </si>
  <si>
    <t>Metas Anuais para o Resultado Nominal</t>
  </si>
  <si>
    <t>(b)</t>
  </si>
  <si>
    <t>(d)</t>
  </si>
  <si>
    <t>(e)</t>
  </si>
  <si>
    <t>(f)</t>
  </si>
  <si>
    <t>(g)</t>
  </si>
  <si>
    <t>(h)</t>
  </si>
  <si>
    <t>DÍVIDA CONSOLIDADA (I)</t>
  </si>
  <si>
    <t>DEDUÇÕES (II)</t>
  </si>
  <si>
    <t>Ativo Disponível</t>
  </si>
  <si>
    <t>Haveres Financeiros</t>
  </si>
  <si>
    <t>( - ) Restos a Pagar Processados</t>
  </si>
  <si>
    <t xml:space="preserve">OBRIGAÇÕES NÃO-INTEGRANTES DA DC </t>
  </si>
  <si>
    <t>DÍVIDA CONSOLIDADA LÍQUIDA</t>
  </si>
  <si>
    <t>RECEITA DE PRIVATIZAÇÕES</t>
  </si>
  <si>
    <t>PASSIVOS RECONHECIDOS</t>
  </si>
  <si>
    <t>DÍVIDA FISCAL LÍQUIDA</t>
  </si>
  <si>
    <t>RESULTADO NOMINAL</t>
  </si>
  <si>
    <t>(b-a*)</t>
  </si>
  <si>
    <t>(e-d)</t>
  </si>
  <si>
    <t>(f-e)</t>
  </si>
  <si>
    <t>(g-f)</t>
  </si>
  <si>
    <t>(f-h)</t>
  </si>
  <si>
    <t>Prefeitura Municipal de Santa Maria</t>
  </si>
  <si>
    <t>Lei Orçamentária Anual</t>
  </si>
  <si>
    <t>Margem de Expansão das Despesas Obrigatórias de Caráter Continuado</t>
  </si>
  <si>
    <r>
      <rPr>
        <sz val="8"/>
        <rFont val="Calibri"/>
        <family val="2"/>
      </rPr>
      <t>LRF, art 4°, § 2° , inciso V</t>
    </r>
  </si>
  <si>
    <t>EVENTO</t>
  </si>
  <si>
    <t>Aumento Permanente da Receita</t>
  </si>
  <si>
    <t xml:space="preserve">  ( - ) Transferências Constitucionais</t>
  </si>
  <si>
    <t>Saldo Final do Aumento Permanente da Receita ( I )</t>
  </si>
  <si>
    <t>Redução Permanente da Despesa ( II )</t>
  </si>
  <si>
    <t>Margem Bruta ( III ) = ( I + II )</t>
  </si>
  <si>
    <t>Saldo Utilizado ( IV )</t>
  </si>
  <si>
    <t xml:space="preserve">   Impacto de Novas DOCC</t>
  </si>
  <si>
    <t>Margem Líquida de Expansão de DOCC ( III – IV )</t>
  </si>
  <si>
    <t>Prefeitura Municipal de Santa Maria</t>
  </si>
  <si>
    <t>Lei Orçamentária Anual</t>
  </si>
  <si>
    <t>METAS ANUAIS PARA O MONTANTE DA DÍVIDA PÚBLICA</t>
  </si>
  <si>
    <t>ESPECIFICAÇÃO</t>
  </si>
  <si>
    <t>DÍVIDA CONSOLIDADA ( I )</t>
  </si>
  <si>
    <t>Dívida Mobiliária</t>
  </si>
  <si>
    <t>Outras Dívidas</t>
  </si>
  <si>
    <t>DEDUÇÕES ( II )</t>
  </si>
  <si>
    <t>Ativo Disponível</t>
  </si>
  <si>
    <t>Haveres Financeiros</t>
  </si>
  <si>
    <t>( - ) Restos à Pagar Processados</t>
  </si>
  <si>
    <t xml:space="preserve">OBRIGAÇÕES NÃO-INTEGRANTES DA DC </t>
  </si>
  <si>
    <t>Insuficiência Financeira</t>
  </si>
  <si>
    <t>DCL (III ) = ( I – II )</t>
  </si>
  <si>
    <t>FONTE: Diretoria de Administração Financeira PMSM</t>
  </si>
  <si>
    <t>RENÚNCIA DE RECEITA</t>
  </si>
  <si>
    <t>Projeção da receita para os dois exercícios seguintes</t>
  </si>
  <si>
    <t xml:space="preserve">I S S </t>
  </si>
  <si>
    <t>I S S</t>
  </si>
  <si>
    <t>Orçamento Consolidado da Administração Direta e Indireta</t>
  </si>
  <si>
    <t>RECEITA</t>
  </si>
  <si>
    <t>DESPESA</t>
  </si>
  <si>
    <t>Receita da Adm. Direta</t>
  </si>
  <si>
    <t>Despesa Adm. Direta</t>
  </si>
  <si>
    <t>Receita da Adm. Indireta</t>
  </si>
  <si>
    <t>Despesa Adm. Indireta</t>
  </si>
  <si>
    <t>Autarquia – IPASSP</t>
  </si>
  <si>
    <t>DEMONSTRAÇÃO DA TRANSFERÊNCIA FINANCEIRA AO IPASSP – SM</t>
  </si>
  <si>
    <t>Conforme Legislação Vigente</t>
  </si>
  <si>
    <t>RECEITA (A)</t>
  </si>
  <si>
    <t>DESPESA (B)</t>
  </si>
  <si>
    <t>(IPASSP)</t>
  </si>
  <si>
    <t>( IPASSP)</t>
  </si>
  <si>
    <t>VALOR DA TRANSFERÊNCIA FINANCEIRA  (B-A)</t>
  </si>
  <si>
    <t>Nota Explicativa:</t>
  </si>
  <si>
    <t>1. A transferência financeira, acima demonstrada, refere-se ao repasse financeiro correspondente aos inativos e pensionistas do Município, conforme determina a Lei Municipal 4938/2006.</t>
  </si>
  <si>
    <t xml:space="preserve">Compatibilidade do Orçamento com o Anexo de Metas Fiscais </t>
  </si>
  <si>
    <t xml:space="preserve">Compatibilidade de Resultado Primário e Nominal </t>
  </si>
  <si>
    <t>(LRF, art. 5º, I)</t>
  </si>
  <si>
    <t>LDO</t>
  </si>
  <si>
    <t>LOA</t>
  </si>
  <si>
    <t>Diferença</t>
  </si>
  <si>
    <t>Receita Total</t>
  </si>
  <si>
    <t>Receitas Primárias (I)</t>
  </si>
  <si>
    <t>Despesa Total</t>
  </si>
  <si>
    <t>Despesas Primárias (II)</t>
  </si>
  <si>
    <t>Resultado Primário (III) = (I – II)</t>
  </si>
  <si>
    <t>Resultado Nominal</t>
  </si>
  <si>
    <t xml:space="preserve">Dívida Pública Consolidada </t>
  </si>
  <si>
    <t xml:space="preserve">Dívida Consolidada Líquida </t>
  </si>
  <si>
    <t>FONTE: Superintendência de Execução Orçamentária e Financeira PMSM</t>
  </si>
  <si>
    <t xml:space="preserve">  ( - ) Transferências ao FUNDEB</t>
  </si>
  <si>
    <t>(-) Dedução da Receita por Renúncia</t>
  </si>
  <si>
    <t>Alienação de Bens</t>
  </si>
  <si>
    <t>OUTRAS DEDUÇÕES</t>
  </si>
  <si>
    <t>DEDUÇÕES IPASSP</t>
  </si>
  <si>
    <t>LC 101, art. 12, §3º</t>
  </si>
  <si>
    <t>PASSIVOS CONTINGENTES</t>
  </si>
  <si>
    <t>PROVIDÊNCIAS</t>
  </si>
  <si>
    <t>Ações Judiciais</t>
  </si>
  <si>
    <t>Abertura de créditos adicionais a partir da reserva de contingência</t>
  </si>
  <si>
    <t>SUBTOTAL</t>
  </si>
  <si>
    <t>RISCOS E EVENTOS FISCAIS IMPREVISTOS</t>
  </si>
  <si>
    <t>Intempéries</t>
  </si>
  <si>
    <t>FONTE: Superintendência de Gestão Orçamentária e Financeira</t>
  </si>
  <si>
    <t>NOTA:</t>
  </si>
  <si>
    <t>1. Em não sendo suficiente os valores, serão abertos créditos com a indicação de utilização de recursos de redução de ações não prioritárias.</t>
  </si>
  <si>
    <t>2. Em caso de não se efetivarem os riscos fiscais, os valores serão utilizados conforme a necessidade, nas diversas ações de governo.</t>
  </si>
  <si>
    <t xml:space="preserve">Demonstrativo de Riscos Fiscais e Providências
</t>
  </si>
  <si>
    <t>(-) Aposentadorias RPPS</t>
  </si>
  <si>
    <t>(3.1.9.0.01.00.00.00.00)</t>
  </si>
  <si>
    <t>Autarquia – IPLAN-SM</t>
  </si>
  <si>
    <t>Despesa prevista a menor</t>
  </si>
  <si>
    <t>TAXAS</t>
  </si>
  <si>
    <t>Receitas do Fundo de Previdência dos Servidores</t>
  </si>
  <si>
    <t>Receitas do Fundo de Saúde dos Servidores</t>
  </si>
  <si>
    <t>(1.1.1.3.03.1.1.01.00.00)</t>
  </si>
  <si>
    <t>LRF, art 5°,  inciso II</t>
  </si>
  <si>
    <t>LRF, art 5°, inciso III</t>
  </si>
  <si>
    <t>Abertura de créditos adicionais a partir da reserva de contingência para Defesa Civil</t>
  </si>
  <si>
    <t>IMPOSTOS, TAXAS E CONTRIBUIÇÕES DE MELHORIA</t>
  </si>
  <si>
    <t>CONTRIBUIÇÕES</t>
  </si>
  <si>
    <t xml:space="preserve">  Impostos, Taxas e Contribuições de Melhoria</t>
  </si>
  <si>
    <t xml:space="preserve">       (-)  Receita Previdenciária</t>
  </si>
  <si>
    <t xml:space="preserve">      (-) Outras Receitas Financeiras</t>
  </si>
  <si>
    <t>RECEITAS FISCAIS DE CAPITAL ( VI )=( II - III - IV )</t>
  </si>
  <si>
    <t>RECEITAS PRIMÁRIAS (VII)=(I+VI)</t>
  </si>
  <si>
    <t xml:space="preserve">  (-) Obrigações Patronais Intra</t>
  </si>
  <si>
    <t xml:space="preserve">  (-) Outras Aplicações Diretas (3.3.91)</t>
  </si>
  <si>
    <t>DESPESAS PRIMÁRIAS ( XVIII ) = ( X + XV + XVI+XVII)</t>
  </si>
  <si>
    <t>FONTE: Superintendência de Gestão Orçamentária e Financeira - PMSM</t>
  </si>
  <si>
    <r>
      <t>(c)</t>
    </r>
    <r>
      <rPr>
        <b/>
        <sz val="2"/>
        <rFont val="Arial"/>
        <family val="2"/>
      </rPr>
      <t>.</t>
    </r>
  </si>
  <si>
    <t>JUROS NOMINAIS</t>
  </si>
  <si>
    <t>JUROS E ENCARGOS ATIVOS</t>
  </si>
  <si>
    <t>JUROS E ENCARGOS PASSIVOS</t>
  </si>
  <si>
    <t>RESULTADO NOMINAL ACIMA DA LINHA</t>
  </si>
  <si>
    <t>RESULTADO NOMINAL ABAIXO DA LINHA</t>
  </si>
  <si>
    <t xml:space="preserve">AJUSTE METODOLÓGICO </t>
  </si>
  <si>
    <t>VARIAÇÃO DO SALDO DO RPP</t>
  </si>
  <si>
    <t>RESULTADO NOMINAL AJUSTADO ABAIXO DA LINHA</t>
  </si>
  <si>
    <t>RESULTADO PRIMÁRIO ABAIXO DA LINHA</t>
  </si>
  <si>
    <t>TRIBUTO</t>
  </si>
  <si>
    <t>LM nº 5395, de 29/12/2010 e alterações - Campanha Premiada.</t>
  </si>
  <si>
    <t>LM nº 5273, de 30/12/2009 e alterações - Prêmio Adimplência IPTU.</t>
  </si>
  <si>
    <t>LCM  nº 027, de 30/09/2004 - Isenção para áreas de preservação ambiental, sítios arqueológicos e paleontológicos, área particularmente desvalorizada.</t>
  </si>
  <si>
    <t>LCM nº 02, de 28/12/2001 - Art. 229 - Isenções do pagamento de Imposto Sobre Serviço de Qualquer Natureza - para pessoas físicas.</t>
  </si>
  <si>
    <t>LM nº 5517, de 21/09/2011  - Concede isenção tributária para a implantação de Empreendimentos Habitacionais de Interesse Social.</t>
  </si>
  <si>
    <t>LM nº 5702, de 06/12/2012 - Isenção do pagamento do Imposto Predial e Territorial Urbano aos aposentados, inativos e pensionistas com renda até um salário mínimo nacional.</t>
  </si>
  <si>
    <t>LM nº 4645, de 06/02/2003 - LM 4017/96 e alterações - Lei de Incentivo à Cultura - LIC.</t>
  </si>
  <si>
    <t>LM nº 5157, de 03/10/2008 - Incentivo ao Esporte - PROESP.</t>
  </si>
  <si>
    <t>LCM nº 068, de 07/10/2008 - Redução de alíquota de ISS para atividades de Educação.</t>
  </si>
  <si>
    <t>LM nº 5245, de 05/11/2009 - Microempreendedor Individual.</t>
  </si>
  <si>
    <t xml:space="preserve">Incentivos relativos ao Programa de Empreendimentos e Desenvolvimento Econômico Sustentável do Município. </t>
  </si>
  <si>
    <t>Isenção para o incentivo à inovação e à pesquisa cientifica a tecnologia no Município de Santa Maria.</t>
  </si>
  <si>
    <t>LCM nº 112, de 20/12/2017 - Art 27-B - Redução de alíquota para atividades específicas conforme relação CNAE.</t>
  </si>
  <si>
    <t>LM nº 6041, de 09/03/2016 - Concede incentivos fiscais à pessoa jurídica de Direito Privado KMW do Brasil Sistemas de Defesa Ltda. Legislação vigente até março de 2021.</t>
  </si>
  <si>
    <t>Incentivos quanto ao Polo Histórico, Cultural, Turístico, Gastronômico e de Lazer da Vila Belga.</t>
  </si>
  <si>
    <t>LM n° 4635, de 31/12/2002 alterado pela LM nº 5497, de  09/08/2011 - Incentivos às entidades de utilidade pública, clubes, sociedades recreativas e entidades de assistência social.</t>
  </si>
  <si>
    <t>LM 6043, de 15/03/2016. Regulamenta a destinação e a ocupação de áreas para instalação de empreendimentos industriais, tecnológicos e de logística no Distrito Industrial e dá outras providências.</t>
  </si>
  <si>
    <t>MODALIDADE</t>
  </si>
  <si>
    <t>Compensação</t>
  </si>
  <si>
    <t xml:space="preserve">Isenção </t>
  </si>
  <si>
    <t>LCM nº 02, de 28/12/2001 - Art. 228  - Os imóveis cujo valor venal for inferior a 10.000 UFM ficarão isentos do pagamento do IPTU.</t>
  </si>
  <si>
    <t>Créditos Fiscais</t>
  </si>
  <si>
    <t>Incentivo</t>
  </si>
  <si>
    <t>LCM nº 02, de 28/12/2001 - Desconto IPTU para pagamento em Cota Única.</t>
  </si>
  <si>
    <t>Redução Base de Cálulo</t>
  </si>
  <si>
    <t>LCM nº 02, de 28/12/2001- Art. 244 §1º - Redução de 50% do IPTU para imóveis dos Distritos.</t>
  </si>
  <si>
    <t>Isenção</t>
  </si>
  <si>
    <t>Alteração Alíquota</t>
  </si>
  <si>
    <t>Incentivos</t>
  </si>
  <si>
    <t>Doação Onerosa</t>
  </si>
  <si>
    <t>Fonte: Superintendência de Receita -  PMSM.</t>
  </si>
  <si>
    <t>Nota 1: Utilizado para  2021, 2022 e 2023 respectivamente o percentual de 3,00%, 3,50% e 3,25% conforme Estimativa da Inflação - Relatório Focus 07/08/2020.</t>
  </si>
  <si>
    <t>Nota 2: Reduzido valor da Campanha Premiada (2 - LM 5395/2010) e acrescido no desconto por antecipação (3 - LM 02/2001) e adimplência (4 - LM 5273/2009).</t>
  </si>
  <si>
    <t>Nota 3: Acrescido no desconto por antecipação (3 - LM 02/2001) e adimplência (4 - LM 5273/2009) o valor de 3% relativo a aumento cadastros e 20% readequação desconto balancete dez/2019.</t>
  </si>
  <si>
    <t>Projeção 2020</t>
  </si>
  <si>
    <t>Receita Corrente Líquida Projetada para 2021......................................</t>
  </si>
  <si>
    <t>% da Despesa com Pessoal Poder Executivo projetada para 2021..........</t>
  </si>
  <si>
    <t>% da Despesa com Pessoal Poder Legislativo projetada para 2021.........</t>
  </si>
  <si>
    <t>% da Despesa com Pessoal do Município projetada para 2021...............</t>
  </si>
  <si>
    <t>(b-c)</t>
  </si>
  <si>
    <t>(c-d)</t>
  </si>
  <si>
    <t>RESTOS A PAGAR PROCESSADOS E NÃO PROCESSADOS PAGOS (IX)</t>
  </si>
  <si>
    <t>RESULTADO PRIMÁRIO - ACIMA DA LINHA ( VII – XVIII - IX )</t>
  </si>
  <si>
    <t>RESERVA DE CONTINGÊNCIA PODER EXECUTIVO ( XVI )</t>
  </si>
  <si>
    <t>NOTA: Os valores do demonstrativo seguem zerados, considerando que não teremos um Aumento Permanente da Receita, nem Redução Permanente da Despesa para o exercício de 2021, em consequência, sem margem de Expansão das Despesas Obrigatórias de Caráter Continuado.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</si>
</sst>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#,##0\ &quot;R$&quot;;\-#,##0\ &quot;R$&quot;"/>
    <numFmt numFmtId="173" formatCode="#,##0\ &quot;R$&quot;;[Red]\-#,##0\ &quot;R$&quot;"/>
    <numFmt numFmtId="174" formatCode="#,##0.00\ &quot;R$&quot;;\-#,##0.00\ &quot;R$&quot;"/>
    <numFmt numFmtId="175" formatCode="#,##0.00\ &quot;R$&quot;;[Red]\-#,##0.00\ &quot;R$&quot;"/>
    <numFmt numFmtId="176" formatCode="_-* #,##0\ &quot;R$&quot;_-;\-* #,##0\ &quot;R$&quot;_-;_-* &quot;-&quot;\ &quot;R$&quot;_-;_-@_-"/>
    <numFmt numFmtId="177" formatCode="_-* #,##0\ _R_$_-;\-* #,##0\ _R_$_-;_-* &quot;-&quot;\ _R_$_-;_-@_-"/>
    <numFmt numFmtId="178" formatCode="_-* #,##0.00\ &quot;R$&quot;_-;\-* #,##0.00\ &quot;R$&quot;_-;_-* &quot;-&quot;??\ &quot;R$&quot;_-;_-@_-"/>
    <numFmt numFmtId="179" formatCode="_-* #,##0.00\ _R_$_-;\-* #,##0.00\ _R_$_-;_-* &quot;-&quot;??\ _R_$_-;_-@_-"/>
    <numFmt numFmtId="180" formatCode="&quot;R$ &quot;#,##0.00;[Red]&quot;R$ -&quot;#,##0.00"/>
    <numFmt numFmtId="181" formatCode="#,##0.00_ ;[Red]\-#,##0.00\ "/>
    <numFmt numFmtId="182" formatCode="_(* #,##0.00_);_(* \(#,##0.00\);_(* \-??_);_(@_)"/>
    <numFmt numFmtId="183" formatCode="_(* #,##0_);_(* \(#,##0\);_(* \-??_);_(@_)"/>
    <numFmt numFmtId="184" formatCode="#,###.00"/>
    <numFmt numFmtId="185" formatCode="&quot;R$ &quot;#,##0.00_);[Red]\(&quot;R$ &quot;#,##0.00\)"/>
    <numFmt numFmtId="186" formatCode="dd/mm/yy"/>
    <numFmt numFmtId="187" formatCode="&quot;R$&quot;\ #,##0.00"/>
    <numFmt numFmtId="188" formatCode="0.00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6.8"/>
      <name val="Calibri"/>
      <family val="2"/>
    </font>
    <font>
      <b/>
      <sz val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2"/>
      <name val="Arial"/>
      <family val="2"/>
    </font>
    <font>
      <b/>
      <u val="single"/>
      <sz val="10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name val="Calibri"/>
      <family val="2"/>
    </font>
    <font>
      <sz val="13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2" borderId="1" applyNumberFormat="0" applyAlignment="0" applyProtection="0"/>
    <xf numFmtId="0" fontId="5" fillId="11" borderId="2" applyNumberFormat="0" applyAlignment="0" applyProtection="0"/>
    <xf numFmtId="0" fontId="6" fillId="0" borderId="3" applyNumberFormat="0" applyFill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7" fillId="3" borderId="1" applyNumberFormat="0" applyAlignment="0" applyProtection="0"/>
    <xf numFmtId="0" fontId="8" fillId="1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0" fontId="10" fillId="2" borderId="5" applyNumberFormat="0" applyAlignment="0" applyProtection="0"/>
    <xf numFmtId="177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82" fontId="0" fillId="0" borderId="0" applyFill="0" applyBorder="0" applyAlignment="0" applyProtection="0"/>
  </cellStyleXfs>
  <cellXfs count="301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22" fillId="0" borderId="0" xfId="0" applyFont="1" applyAlignment="1">
      <alignment/>
    </xf>
    <xf numFmtId="180" fontId="19" fillId="0" borderId="0" xfId="0" applyNumberFormat="1" applyFont="1" applyAlignment="1">
      <alignment horizontal="right"/>
    </xf>
    <xf numFmtId="0" fontId="21" fillId="2" borderId="10" xfId="0" applyFont="1" applyFill="1" applyBorder="1" applyAlignment="1">
      <alignment horizontal="left" vertical="center" wrapText="1"/>
    </xf>
    <xf numFmtId="181" fontId="21" fillId="2" borderId="1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/>
    </xf>
    <xf numFmtId="0" fontId="18" fillId="0" borderId="10" xfId="0" applyFont="1" applyBorder="1" applyAlignment="1">
      <alignment vertical="center" wrapText="1"/>
    </xf>
    <xf numFmtId="181" fontId="18" fillId="0" borderId="10" xfId="0" applyNumberFormat="1" applyFont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19" fillId="0" borderId="10" xfId="0" applyFont="1" applyBorder="1" applyAlignment="1">
      <alignment horizontal="left" vertical="center" wrapText="1"/>
    </xf>
    <xf numFmtId="181" fontId="19" fillId="0" borderId="10" xfId="0" applyNumberFormat="1" applyFont="1" applyBorder="1" applyAlignment="1">
      <alignment horizontal="right" vertical="center" wrapText="1"/>
    </xf>
    <xf numFmtId="0" fontId="18" fillId="0" borderId="10" xfId="0" applyFont="1" applyFill="1" applyBorder="1" applyAlignment="1">
      <alignment vertical="center" wrapText="1"/>
    </xf>
    <xf numFmtId="181" fontId="18" fillId="0" borderId="10" xfId="0" applyNumberFormat="1" applyFont="1" applyBorder="1" applyAlignment="1">
      <alignment horizontal="right" vertical="center"/>
    </xf>
    <xf numFmtId="0" fontId="19" fillId="0" borderId="10" xfId="0" applyFont="1" applyFill="1" applyBorder="1" applyAlignment="1">
      <alignment horizontal="left" vertical="center" wrapText="1"/>
    </xf>
    <xf numFmtId="181" fontId="19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/>
    </xf>
    <xf numFmtId="0" fontId="21" fillId="17" borderId="10" xfId="0" applyFont="1" applyFill="1" applyBorder="1" applyAlignment="1">
      <alignment horizontal="center" vertical="center"/>
    </xf>
    <xf numFmtId="1" fontId="21" fillId="17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/>
    </xf>
    <xf numFmtId="0" fontId="18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8" fillId="0" borderId="10" xfId="0" applyFont="1" applyFill="1" applyBorder="1" applyAlignment="1">
      <alignment/>
    </xf>
    <xf numFmtId="181" fontId="18" fillId="0" borderId="10" xfId="61" applyNumberFormat="1" applyFont="1" applyFill="1" applyBorder="1" applyAlignment="1" applyProtection="1">
      <alignment/>
      <protection/>
    </xf>
    <xf numFmtId="0" fontId="19" fillId="0" borderId="10" xfId="0" applyFont="1" applyFill="1" applyBorder="1" applyAlignment="1">
      <alignment horizontal="left" indent="2"/>
    </xf>
    <xf numFmtId="181" fontId="19" fillId="0" borderId="10" xfId="61" applyNumberFormat="1" applyFont="1" applyFill="1" applyBorder="1" applyAlignment="1" applyProtection="1">
      <alignment/>
      <protection/>
    </xf>
    <xf numFmtId="0" fontId="25" fillId="0" borderId="0" xfId="0" applyFont="1" applyAlignment="1">
      <alignment/>
    </xf>
    <xf numFmtId="0" fontId="22" fillId="0" borderId="11" xfId="0" applyFont="1" applyBorder="1" applyAlignment="1">
      <alignment/>
    </xf>
    <xf numFmtId="0" fontId="23" fillId="18" borderId="10" xfId="0" applyFont="1" applyFill="1" applyBorder="1" applyAlignment="1">
      <alignment horizontal="justify" vertical="center"/>
    </xf>
    <xf numFmtId="0" fontId="23" fillId="18" borderId="10" xfId="0" applyFont="1" applyFill="1" applyBorder="1" applyAlignment="1">
      <alignment horizontal="center" vertical="center"/>
    </xf>
    <xf numFmtId="10" fontId="23" fillId="18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7" fillId="0" borderId="10" xfId="0" applyFont="1" applyBorder="1" applyAlignment="1">
      <alignment/>
    </xf>
    <xf numFmtId="4" fontId="27" fillId="0" borderId="10" xfId="0" applyNumberFormat="1" applyFont="1" applyBorder="1" applyAlignment="1">
      <alignment horizontal="right"/>
    </xf>
    <xf numFmtId="0" fontId="28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4" fontId="23" fillId="0" borderId="10" xfId="0" applyNumberFormat="1" applyFont="1" applyBorder="1" applyAlignment="1">
      <alignment horizontal="right"/>
    </xf>
    <xf numFmtId="0" fontId="23" fillId="0" borderId="12" xfId="0" applyFont="1" applyBorder="1" applyAlignment="1">
      <alignment/>
    </xf>
    <xf numFmtId="4" fontId="23" fillId="0" borderId="12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23" fillId="17" borderId="10" xfId="0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3" fillId="0" borderId="0" xfId="0" applyFont="1" applyAlignment="1">
      <alignment/>
    </xf>
    <xf numFmtId="0" fontId="27" fillId="0" borderId="0" xfId="0" applyFont="1" applyAlignment="1">
      <alignment/>
    </xf>
    <xf numFmtId="3" fontId="29" fillId="0" borderId="10" xfId="0" applyNumberFormat="1" applyFont="1" applyFill="1" applyBorder="1" applyAlignment="1">
      <alignment horizontal="left"/>
    </xf>
    <xf numFmtId="0" fontId="29" fillId="0" borderId="10" xfId="0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 vertical="center"/>
    </xf>
    <xf numFmtId="183" fontId="22" fillId="0" borderId="10" xfId="61" applyNumberFormat="1" applyFont="1" applyFill="1" applyBorder="1" applyAlignment="1" applyProtection="1">
      <alignment/>
      <protection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183" fontId="22" fillId="17" borderId="10" xfId="61" applyNumberFormat="1" applyFont="1" applyFill="1" applyBorder="1" applyAlignment="1" applyProtection="1">
      <alignment/>
      <protection/>
    </xf>
    <xf numFmtId="0" fontId="22" fillId="17" borderId="10" xfId="0" applyFont="1" applyFill="1" applyBorder="1" applyAlignment="1">
      <alignment horizontal="center" vertical="center"/>
    </xf>
    <xf numFmtId="182" fontId="22" fillId="0" borderId="10" xfId="61" applyNumberFormat="1" applyFont="1" applyFill="1" applyBorder="1" applyAlignment="1" applyProtection="1">
      <alignment/>
      <protection/>
    </xf>
    <xf numFmtId="0" fontId="22" fillId="0" borderId="10" xfId="0" applyFont="1" applyFill="1" applyBorder="1" applyAlignment="1">
      <alignment wrapText="1"/>
    </xf>
    <xf numFmtId="0" fontId="29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horizontal="center" vertical="center"/>
    </xf>
    <xf numFmtId="183" fontId="22" fillId="0" borderId="10" xfId="61" applyNumberFormat="1" applyFont="1" applyFill="1" applyBorder="1" applyAlignment="1" applyProtection="1">
      <alignment horizontal="center"/>
      <protection/>
    </xf>
    <xf numFmtId="183" fontId="22" fillId="17" borderId="10" xfId="61" applyNumberFormat="1" applyFont="1" applyFill="1" applyBorder="1" applyAlignment="1" applyProtection="1">
      <alignment horizontal="center"/>
      <protection/>
    </xf>
    <xf numFmtId="0" fontId="29" fillId="0" borderId="10" xfId="0" applyFont="1" applyBorder="1" applyAlignment="1">
      <alignment/>
    </xf>
    <xf numFmtId="0" fontId="22" fillId="17" borderId="10" xfId="0" applyFont="1" applyFill="1" applyBorder="1" applyAlignment="1">
      <alignment horizontal="center"/>
    </xf>
    <xf numFmtId="0" fontId="29" fillId="17" borderId="10" xfId="0" applyFont="1" applyFill="1" applyBorder="1" applyAlignment="1">
      <alignment/>
    </xf>
    <xf numFmtId="4" fontId="29" fillId="17" borderId="10" xfId="61" applyNumberFormat="1" applyFont="1" applyFill="1" applyBorder="1" applyAlignment="1" applyProtection="1">
      <alignment/>
      <protection/>
    </xf>
    <xf numFmtId="0" fontId="22" fillId="0" borderId="10" xfId="0" applyFont="1" applyBorder="1" applyAlignment="1">
      <alignment/>
    </xf>
    <xf numFmtId="183" fontId="29" fillId="17" borderId="10" xfId="61" applyNumberFormat="1" applyFont="1" applyFill="1" applyBorder="1" applyAlignment="1" applyProtection="1">
      <alignment/>
      <protection/>
    </xf>
    <xf numFmtId="0" fontId="29" fillId="0" borderId="0" xfId="0" applyFont="1" applyFill="1" applyBorder="1" applyAlignment="1">
      <alignment/>
    </xf>
    <xf numFmtId="4" fontId="22" fillId="0" borderId="13" xfId="0" applyNumberFormat="1" applyFont="1" applyBorder="1" applyAlignment="1">
      <alignment/>
    </xf>
    <xf numFmtId="10" fontId="22" fillId="0" borderId="10" xfId="49" applyNumberFormat="1" applyFont="1" applyFill="1" applyBorder="1" applyAlignment="1" applyProtection="1">
      <alignment/>
      <protection/>
    </xf>
    <xf numFmtId="0" fontId="29" fillId="0" borderId="0" xfId="0" applyFont="1" applyFill="1" applyBorder="1" applyAlignment="1">
      <alignment/>
    </xf>
    <xf numFmtId="10" fontId="29" fillId="0" borderId="10" xfId="49" applyNumberFormat="1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6" borderId="14" xfId="0" applyNumberFormat="1" applyFont="1" applyFill="1" applyBorder="1" applyAlignment="1">
      <alignment horizontal="center" vertical="center" wrapText="1"/>
    </xf>
    <xf numFmtId="0" fontId="30" fillId="2" borderId="14" xfId="0" applyNumberFormat="1" applyFont="1" applyFill="1" applyBorder="1" applyAlignment="1">
      <alignment horizontal="center" vertical="center" wrapText="1"/>
    </xf>
    <xf numFmtId="4" fontId="30" fillId="0" borderId="15" xfId="0" applyNumberFormat="1" applyFont="1" applyBorder="1" applyAlignment="1">
      <alignment horizontal="left" vertical="center" wrapText="1"/>
    </xf>
    <xf numFmtId="4" fontId="31" fillId="0" borderId="14" xfId="0" applyNumberFormat="1" applyFont="1" applyBorder="1" applyAlignment="1">
      <alignment horizontal="center" vertical="center" wrapText="1"/>
    </xf>
    <xf numFmtId="4" fontId="31" fillId="0" borderId="16" xfId="0" applyNumberFormat="1" applyFont="1" applyBorder="1" applyAlignment="1">
      <alignment horizontal="left" vertical="center" wrapText="1"/>
    </xf>
    <xf numFmtId="4" fontId="31" fillId="0" borderId="17" xfId="0" applyNumberFormat="1" applyFont="1" applyBorder="1" applyAlignment="1">
      <alignment horizontal="left" vertical="center" wrapText="1"/>
    </xf>
    <xf numFmtId="4" fontId="30" fillId="0" borderId="14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4" fontId="30" fillId="0" borderId="17" xfId="0" applyNumberFormat="1" applyFont="1" applyBorder="1" applyAlignment="1">
      <alignment horizontal="left" vertical="center" wrapText="1"/>
    </xf>
    <xf numFmtId="4" fontId="30" fillId="0" borderId="14" xfId="0" applyNumberFormat="1" applyFont="1" applyBorder="1" applyAlignment="1">
      <alignment horizontal="left" vertical="center" wrapText="1"/>
    </xf>
    <xf numFmtId="0" fontId="31" fillId="0" borderId="0" xfId="0" applyFont="1" applyBorder="1" applyAlignment="1">
      <alignment/>
    </xf>
    <xf numFmtId="0" fontId="20" fillId="19" borderId="0" xfId="0" applyFont="1" applyFill="1" applyAlignment="1">
      <alignment/>
    </xf>
    <xf numFmtId="183" fontId="22" fillId="17" borderId="10" xfId="61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Font="1" applyAlignment="1">
      <alignment/>
    </xf>
    <xf numFmtId="167" fontId="19" fillId="0" borderId="0" xfId="0" applyNumberFormat="1" applyFont="1" applyAlignment="1">
      <alignment horizontal="right"/>
    </xf>
    <xf numFmtId="184" fontId="18" fillId="20" borderId="18" xfId="0" applyNumberFormat="1" applyFont="1" applyFill="1" applyBorder="1" applyAlignment="1">
      <alignment horizontal="center"/>
    </xf>
    <xf numFmtId="184" fontId="19" fillId="0" borderId="19" xfId="0" applyNumberFormat="1" applyFont="1" applyBorder="1" applyAlignment="1">
      <alignment/>
    </xf>
    <xf numFmtId="184" fontId="19" fillId="0" borderId="20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184" fontId="19" fillId="0" borderId="21" xfId="0" applyNumberFormat="1" applyFont="1" applyBorder="1" applyAlignment="1">
      <alignment/>
    </xf>
    <xf numFmtId="184" fontId="19" fillId="0" borderId="0" xfId="0" applyNumberFormat="1" applyFont="1" applyBorder="1" applyAlignment="1">
      <alignment/>
    </xf>
    <xf numFmtId="184" fontId="19" fillId="0" borderId="22" xfId="0" applyNumberFormat="1" applyFont="1" applyBorder="1" applyAlignment="1">
      <alignment/>
    </xf>
    <xf numFmtId="184" fontId="19" fillId="0" borderId="23" xfId="0" applyNumberFormat="1" applyFont="1" applyBorder="1" applyAlignment="1">
      <alignment/>
    </xf>
    <xf numFmtId="184" fontId="19" fillId="0" borderId="24" xfId="0" applyNumberFormat="1" applyFont="1" applyBorder="1" applyAlignment="1">
      <alignment/>
    </xf>
    <xf numFmtId="184" fontId="19" fillId="0" borderId="25" xfId="0" applyNumberFormat="1" applyFont="1" applyBorder="1" applyAlignment="1">
      <alignment/>
    </xf>
    <xf numFmtId="184" fontId="19" fillId="0" borderId="26" xfId="0" applyNumberFormat="1" applyFont="1" applyBorder="1" applyAlignment="1">
      <alignment/>
    </xf>
    <xf numFmtId="184" fontId="0" fillId="0" borderId="23" xfId="0" applyNumberFormat="1" applyFont="1" applyBorder="1" applyAlignment="1">
      <alignment/>
    </xf>
    <xf numFmtId="184" fontId="19" fillId="0" borderId="27" xfId="0" applyNumberFormat="1" applyFont="1" applyBorder="1" applyAlignment="1">
      <alignment/>
    </xf>
    <xf numFmtId="184" fontId="0" fillId="0" borderId="28" xfId="0" applyNumberFormat="1" applyFont="1" applyBorder="1" applyAlignment="1">
      <alignment/>
    </xf>
    <xf numFmtId="184" fontId="19" fillId="0" borderId="29" xfId="0" applyNumberFormat="1" applyFont="1" applyBorder="1" applyAlignment="1">
      <alignment/>
    </xf>
    <xf numFmtId="184" fontId="19" fillId="0" borderId="28" xfId="0" applyNumberFormat="1" applyFont="1" applyBorder="1" applyAlignment="1">
      <alignment/>
    </xf>
    <xf numFmtId="184" fontId="18" fillId="0" borderId="23" xfId="0" applyNumberFormat="1" applyFont="1" applyBorder="1" applyAlignment="1">
      <alignment/>
    </xf>
    <xf numFmtId="184" fontId="18" fillId="0" borderId="24" xfId="0" applyNumberFormat="1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4" fontId="19" fillId="0" borderId="24" xfId="0" applyNumberFormat="1" applyFont="1" applyBorder="1" applyAlignment="1">
      <alignment/>
    </xf>
    <xf numFmtId="0" fontId="19" fillId="0" borderId="28" xfId="0" applyFont="1" applyBorder="1" applyAlignment="1">
      <alignment/>
    </xf>
    <xf numFmtId="184" fontId="18" fillId="0" borderId="29" xfId="0" applyNumberFormat="1" applyFont="1" applyBorder="1" applyAlignment="1">
      <alignment/>
    </xf>
    <xf numFmtId="184" fontId="19" fillId="0" borderId="0" xfId="0" applyNumberFormat="1" applyFont="1" applyAlignment="1">
      <alignment/>
    </xf>
    <xf numFmtId="0" fontId="34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Alignment="1">
      <alignment/>
    </xf>
    <xf numFmtId="0" fontId="32" fillId="0" borderId="0" xfId="0" applyFont="1" applyFill="1" applyBorder="1" applyAlignment="1">
      <alignment/>
    </xf>
    <xf numFmtId="0" fontId="22" fillId="0" borderId="30" xfId="0" applyFont="1" applyFill="1" applyBorder="1" applyAlignment="1">
      <alignment wrapText="1"/>
    </xf>
    <xf numFmtId="0" fontId="18" fillId="20" borderId="31" xfId="0" applyFont="1" applyFill="1" applyBorder="1" applyAlignment="1">
      <alignment horizontal="center" vertical="top" wrapText="1"/>
    </xf>
    <xf numFmtId="180" fontId="19" fillId="0" borderId="0" xfId="0" applyNumberFormat="1" applyFont="1" applyAlignment="1">
      <alignment horizontal="right"/>
    </xf>
    <xf numFmtId="0" fontId="27" fillId="0" borderId="0" xfId="0" applyFont="1" applyAlignment="1">
      <alignment/>
    </xf>
    <xf numFmtId="4" fontId="22" fillId="0" borderId="31" xfId="0" applyNumberFormat="1" applyFont="1" applyFill="1" applyBorder="1" applyAlignment="1">
      <alignment vertical="center" wrapText="1"/>
    </xf>
    <xf numFmtId="184" fontId="22" fillId="0" borderId="12" xfId="0" applyNumberFormat="1" applyFont="1" applyBorder="1" applyAlignment="1">
      <alignment horizontal="left" vertical="center" wrapText="1"/>
    </xf>
    <xf numFmtId="184" fontId="22" fillId="0" borderId="32" xfId="0" applyNumberFormat="1" applyFont="1" applyBorder="1" applyAlignment="1">
      <alignment horizontal="left" vertical="center" wrapText="1"/>
    </xf>
    <xf numFmtId="184" fontId="22" fillId="0" borderId="13" xfId="0" applyNumberFormat="1" applyFont="1" applyBorder="1" applyAlignment="1">
      <alignment horizontal="left" vertical="center" wrapText="1"/>
    </xf>
    <xf numFmtId="184" fontId="29" fillId="0" borderId="10" xfId="0" applyNumberFormat="1" applyFont="1" applyBorder="1" applyAlignment="1">
      <alignment horizontal="left" vertical="center" wrapText="1"/>
    </xf>
    <xf numFmtId="184" fontId="22" fillId="0" borderId="10" xfId="0" applyNumberFormat="1" applyFont="1" applyBorder="1" applyAlignment="1">
      <alignment horizontal="left" vertical="center" wrapText="1"/>
    </xf>
    <xf numFmtId="4" fontId="22" fillId="0" borderId="12" xfId="0" applyNumberFormat="1" applyFont="1" applyBorder="1" applyAlignment="1">
      <alignment horizontal="center" vertical="center" wrapText="1"/>
    </xf>
    <xf numFmtId="4" fontId="22" fillId="0" borderId="32" xfId="0" applyNumberFormat="1" applyFont="1" applyBorder="1" applyAlignment="1">
      <alignment horizontal="center" vertical="center" wrapText="1"/>
    </xf>
    <xf numFmtId="4" fontId="22" fillId="0" borderId="13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22" fillId="0" borderId="31" xfId="0" applyFont="1" applyFill="1" applyBorder="1" applyAlignment="1">
      <alignment vertical="center" wrapText="1"/>
    </xf>
    <xf numFmtId="0" fontId="31" fillId="0" borderId="0" xfId="0" applyFont="1" applyAlignment="1">
      <alignment vertical="center"/>
    </xf>
    <xf numFmtId="0" fontId="19" fillId="0" borderId="11" xfId="0" applyFont="1" applyBorder="1" applyAlignment="1">
      <alignment/>
    </xf>
    <xf numFmtId="0" fontId="18" fillId="0" borderId="0" xfId="0" applyFont="1" applyAlignment="1">
      <alignment/>
    </xf>
    <xf numFmtId="166" fontId="19" fillId="0" borderId="0" xfId="45" applyNumberFormat="1" applyFont="1" applyAlignment="1">
      <alignment/>
    </xf>
    <xf numFmtId="0" fontId="28" fillId="21" borderId="10" xfId="0" applyFont="1" applyFill="1" applyBorder="1" applyAlignment="1">
      <alignment horizontal="center"/>
    </xf>
    <xf numFmtId="0" fontId="28" fillId="22" borderId="10" xfId="0" applyFont="1" applyFill="1" applyBorder="1" applyAlignment="1">
      <alignment horizontal="center"/>
    </xf>
    <xf numFmtId="183" fontId="22" fillId="0" borderId="10" xfId="61" applyNumberFormat="1" applyFont="1" applyFill="1" applyBorder="1" applyAlignment="1" applyProtection="1">
      <alignment horizontal="center" vertical="center"/>
      <protection/>
    </xf>
    <xf numFmtId="4" fontId="29" fillId="0" borderId="10" xfId="0" applyNumberFormat="1" applyFont="1" applyFill="1" applyBorder="1" applyAlignment="1">
      <alignment horizontal="right"/>
    </xf>
    <xf numFmtId="0" fontId="18" fillId="0" borderId="10" xfId="0" applyFont="1" applyBorder="1" applyAlignment="1">
      <alignment horizontal="left" vertical="center" wrapText="1"/>
    </xf>
    <xf numFmtId="0" fontId="21" fillId="19" borderId="0" xfId="0" applyFont="1" applyFill="1" applyAlignment="1">
      <alignment vertical="center"/>
    </xf>
    <xf numFmtId="0" fontId="18" fillId="23" borderId="0" xfId="0" applyFont="1" applyFill="1" applyAlignment="1">
      <alignment vertical="center"/>
    </xf>
    <xf numFmtId="0" fontId="18" fillId="24" borderId="10" xfId="0" applyFont="1" applyFill="1" applyBorder="1" applyAlignment="1">
      <alignment horizontal="center" vertical="center" wrapText="1"/>
    </xf>
    <xf numFmtId="1" fontId="18" fillId="24" borderId="10" xfId="0" applyNumberFormat="1" applyFont="1" applyFill="1" applyBorder="1" applyAlignment="1">
      <alignment horizontal="center" vertical="center" wrapText="1"/>
    </xf>
    <xf numFmtId="4" fontId="31" fillId="0" borderId="31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4" fontId="31" fillId="0" borderId="31" xfId="0" applyNumberFormat="1" applyFont="1" applyFill="1" applyBorder="1" applyAlignment="1">
      <alignment horizontal="center" vertical="center" wrapText="1"/>
    </xf>
    <xf numFmtId="4" fontId="30" fillId="0" borderId="31" xfId="0" applyNumberFormat="1" applyFont="1" applyBorder="1" applyAlignment="1">
      <alignment horizontal="center" vertical="center" wrapText="1"/>
    </xf>
    <xf numFmtId="180" fontId="27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/>
    </xf>
    <xf numFmtId="0" fontId="31" fillId="0" borderId="0" xfId="0" applyFont="1" applyAlignment="1">
      <alignment/>
    </xf>
    <xf numFmtId="167" fontId="0" fillId="0" borderId="0" xfId="0" applyNumberFormat="1" applyFont="1" applyAlignment="1">
      <alignment/>
    </xf>
    <xf numFmtId="4" fontId="30" fillId="25" borderId="31" xfId="0" applyNumberFormat="1" applyFont="1" applyFill="1" applyBorder="1" applyAlignment="1">
      <alignment horizontal="center" vertical="center" wrapText="1"/>
    </xf>
    <xf numFmtId="186" fontId="31" fillId="0" borderId="31" xfId="0" applyNumberFormat="1" applyFont="1" applyFill="1" applyBorder="1" applyAlignment="1">
      <alignment horizontal="left" vertical="center" wrapText="1"/>
    </xf>
    <xf numFmtId="4" fontId="31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30" fillId="0" borderId="0" xfId="0" applyNumberFormat="1" applyFont="1" applyBorder="1" applyAlignment="1">
      <alignment horizontal="center" vertical="center" wrapText="1"/>
    </xf>
    <xf numFmtId="4" fontId="31" fillId="0" borderId="31" xfId="0" applyNumberFormat="1" applyFont="1" applyBorder="1" applyAlignment="1">
      <alignment horizontal="justify" vertical="center" wrapText="1"/>
    </xf>
    <xf numFmtId="0" fontId="29" fillId="0" borderId="10" xfId="0" applyFont="1" applyBorder="1" applyAlignment="1">
      <alignment horizontal="left" vertical="center"/>
    </xf>
    <xf numFmtId="0" fontId="24" fillId="0" borderId="0" xfId="0" applyFont="1" applyFill="1" applyAlignment="1">
      <alignment/>
    </xf>
    <xf numFmtId="4" fontId="19" fillId="0" borderId="0" xfId="0" applyNumberFormat="1" applyFont="1" applyAlignment="1">
      <alignment/>
    </xf>
    <xf numFmtId="0" fontId="31" fillId="0" borderId="19" xfId="0" applyFont="1" applyBorder="1" applyAlignment="1">
      <alignment/>
    </xf>
    <xf numFmtId="0" fontId="21" fillId="17" borderId="10" xfId="61" applyNumberFormat="1" applyFont="1" applyFill="1" applyBorder="1" applyAlignment="1" applyProtection="1">
      <alignment horizontal="center" vertical="center"/>
      <protection/>
    </xf>
    <xf numFmtId="181" fontId="0" fillId="0" borderId="0" xfId="0" applyNumberFormat="1" applyFont="1" applyAlignment="1">
      <alignment/>
    </xf>
    <xf numFmtId="4" fontId="31" fillId="0" borderId="31" xfId="0" applyNumberFormat="1" applyFont="1" applyFill="1" applyBorder="1" applyAlignment="1">
      <alignment vertical="center" wrapText="1"/>
    </xf>
    <xf numFmtId="0" fontId="30" fillId="17" borderId="31" xfId="0" applyNumberFormat="1" applyFont="1" applyFill="1" applyBorder="1" applyAlignment="1">
      <alignment horizontal="center" vertical="center" wrapText="1"/>
    </xf>
    <xf numFmtId="0" fontId="30" fillId="25" borderId="31" xfId="0" applyNumberFormat="1" applyFont="1" applyFill="1" applyBorder="1" applyAlignment="1">
      <alignment horizontal="center" vertical="center" wrapText="1"/>
    </xf>
    <xf numFmtId="4" fontId="30" fillId="0" borderId="31" xfId="0" applyNumberFormat="1" applyFont="1" applyBorder="1" applyAlignment="1">
      <alignment horizontal="left" vertical="center" wrapText="1"/>
    </xf>
    <xf numFmtId="4" fontId="31" fillId="0" borderId="31" xfId="0" applyNumberFormat="1" applyFont="1" applyBorder="1" applyAlignment="1">
      <alignment horizontal="left" vertical="center" wrapText="1"/>
    </xf>
    <xf numFmtId="4" fontId="30" fillId="26" borderId="31" xfId="0" applyNumberFormat="1" applyFont="1" applyFill="1" applyBorder="1" applyAlignment="1">
      <alignment horizontal="left" vertical="center" wrapText="1"/>
    </xf>
    <xf numFmtId="4" fontId="30" fillId="26" borderId="31" xfId="0" applyNumberFormat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4" fontId="31" fillId="0" borderId="19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 horizontal="center"/>
    </xf>
    <xf numFmtId="4" fontId="18" fillId="27" borderId="10" xfId="0" applyNumberFormat="1" applyFont="1" applyFill="1" applyBorder="1" applyAlignment="1">
      <alignment horizontal="center" vertical="center" wrapText="1"/>
    </xf>
    <xf numFmtId="0" fontId="29" fillId="0" borderId="31" xfId="0" applyFont="1" applyBorder="1" applyAlignment="1">
      <alignment vertical="center"/>
    </xf>
    <xf numFmtId="4" fontId="29" fillId="0" borderId="31" xfId="0" applyNumberFormat="1" applyFont="1" applyBorder="1" applyAlignment="1">
      <alignment horizontal="center" vertical="center" wrapText="1"/>
    </xf>
    <xf numFmtId="4" fontId="22" fillId="0" borderId="31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4" fontId="29" fillId="0" borderId="0" xfId="0" applyNumberFormat="1" applyFont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 wrapText="1"/>
    </xf>
    <xf numFmtId="178" fontId="19" fillId="0" borderId="0" xfId="45" applyFont="1" applyAlignment="1">
      <alignment/>
    </xf>
    <xf numFmtId="4" fontId="31" fillId="0" borderId="0" xfId="0" applyNumberFormat="1" applyFont="1" applyBorder="1" applyAlignment="1">
      <alignment horizontal="justify" vertical="center" wrapText="1"/>
    </xf>
    <xf numFmtId="4" fontId="31" fillId="0" borderId="0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Border="1" applyAlignment="1">
      <alignment vertical="center" wrapText="1"/>
    </xf>
    <xf numFmtId="0" fontId="42" fillId="20" borderId="31" xfId="0" applyFont="1" applyFill="1" applyBorder="1" applyAlignment="1">
      <alignment horizontal="center" vertical="center" wrapText="1"/>
    </xf>
    <xf numFmtId="4" fontId="42" fillId="28" borderId="31" xfId="0" applyNumberFormat="1" applyFont="1" applyFill="1" applyBorder="1" applyAlignment="1">
      <alignment horizontal="center" vertical="center" wrapText="1"/>
    </xf>
    <xf numFmtId="0" fontId="42" fillId="20" borderId="31" xfId="0" applyNumberFormat="1" applyFont="1" applyFill="1" applyBorder="1" applyAlignment="1">
      <alignment horizontal="center" vertical="center"/>
    </xf>
    <xf numFmtId="0" fontId="22" fillId="0" borderId="23" xfId="0" applyFont="1" applyBorder="1" applyAlignment="1">
      <alignment/>
    </xf>
    <xf numFmtId="9" fontId="43" fillId="0" borderId="0" xfId="49" applyFont="1" applyFill="1" applyAlignment="1">
      <alignment/>
    </xf>
    <xf numFmtId="188" fontId="43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 wrapText="1"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0" fontId="26" fillId="0" borderId="31" xfId="0" applyFont="1" applyBorder="1" applyAlignment="1">
      <alignment horizontal="center" vertical="center"/>
    </xf>
    <xf numFmtId="0" fontId="44" fillId="19" borderId="31" xfId="0" applyFont="1" applyFill="1" applyBorder="1" applyAlignment="1">
      <alignment horizontal="center" vertical="center" wrapText="1"/>
    </xf>
    <xf numFmtId="4" fontId="44" fillId="19" borderId="33" xfId="0" applyNumberFormat="1" applyFont="1" applyFill="1" applyBorder="1" applyAlignment="1">
      <alignment horizontal="left" vertical="center" wrapText="1"/>
    </xf>
    <xf numFmtId="4" fontId="44" fillId="19" borderId="33" xfId="0" applyNumberFormat="1" applyFont="1" applyFill="1" applyBorder="1" applyAlignment="1">
      <alignment horizontal="center" vertical="center" wrapText="1"/>
    </xf>
    <xf numFmtId="4" fontId="44" fillId="19" borderId="31" xfId="0" applyNumberFormat="1" applyFont="1" applyFill="1" applyBorder="1" applyAlignment="1">
      <alignment horizontal="right" vertical="center" wrapText="1"/>
    </xf>
    <xf numFmtId="4" fontId="44" fillId="19" borderId="33" xfId="0" applyNumberFormat="1" applyFont="1" applyFill="1" applyBorder="1" applyAlignment="1">
      <alignment horizontal="right" vertical="center" wrapText="1"/>
    </xf>
    <xf numFmtId="0" fontId="44" fillId="0" borderId="31" xfId="0" applyFont="1" applyFill="1" applyBorder="1" applyAlignment="1">
      <alignment horizontal="center" vertical="center" wrapText="1"/>
    </xf>
    <xf numFmtId="4" fontId="44" fillId="0" borderId="31" xfId="0" applyNumberFormat="1" applyFont="1" applyFill="1" applyBorder="1" applyAlignment="1">
      <alignment horizontal="left" vertical="center" wrapText="1"/>
    </xf>
    <xf numFmtId="4" fontId="44" fillId="0" borderId="31" xfId="0" applyNumberFormat="1" applyFont="1" applyFill="1" applyBorder="1" applyAlignment="1">
      <alignment horizontal="center" vertical="center" wrapText="1"/>
    </xf>
    <xf numFmtId="4" fontId="44" fillId="19" borderId="31" xfId="0" applyNumberFormat="1" applyFont="1" applyFill="1" applyBorder="1" applyAlignment="1">
      <alignment horizontal="left" vertical="center" wrapText="1"/>
    </xf>
    <xf numFmtId="4" fontId="44" fillId="19" borderId="31" xfId="0" applyNumberFormat="1" applyFont="1" applyFill="1" applyBorder="1" applyAlignment="1">
      <alignment horizontal="center" vertical="center" wrapText="1"/>
    </xf>
    <xf numFmtId="4" fontId="44" fillId="19" borderId="18" xfId="0" applyNumberFormat="1" applyFont="1" applyFill="1" applyBorder="1" applyAlignment="1">
      <alignment vertical="center" wrapText="1"/>
    </xf>
    <xf numFmtId="0" fontId="26" fillId="0" borderId="31" xfId="0" applyFont="1" applyFill="1" applyBorder="1" applyAlignment="1">
      <alignment horizontal="center" vertical="center"/>
    </xf>
    <xf numFmtId="0" fontId="44" fillId="0" borderId="31" xfId="0" applyFont="1" applyBorder="1" applyAlignment="1">
      <alignment horizontal="center" vertical="center" wrapText="1"/>
    </xf>
    <xf numFmtId="4" fontId="45" fillId="19" borderId="31" xfId="0" applyNumberFormat="1" applyFont="1" applyFill="1" applyBorder="1" applyAlignment="1">
      <alignment horizontal="right" vertical="center" wrapText="1"/>
    </xf>
    <xf numFmtId="0" fontId="21" fillId="17" borderId="10" xfId="0" applyFont="1" applyFill="1" applyBorder="1" applyAlignment="1">
      <alignment horizontal="center" vertical="center"/>
    </xf>
    <xf numFmtId="0" fontId="21" fillId="17" borderId="1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24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4" fontId="23" fillId="0" borderId="10" xfId="0" applyNumberFormat="1" applyFont="1" applyBorder="1" applyAlignment="1">
      <alignment horizontal="center"/>
    </xf>
    <xf numFmtId="3" fontId="23" fillId="17" borderId="10" xfId="0" applyNumberFormat="1" applyFont="1" applyFill="1" applyBorder="1" applyAlignment="1">
      <alignment horizontal="center" vertical="center"/>
    </xf>
    <xf numFmtId="0" fontId="23" fillId="17" borderId="10" xfId="0" applyFont="1" applyFill="1" applyBorder="1" applyAlignment="1">
      <alignment horizontal="center"/>
    </xf>
    <xf numFmtId="0" fontId="23" fillId="17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wrapText="1"/>
    </xf>
    <xf numFmtId="0" fontId="1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84" fontId="39" fillId="0" borderId="21" xfId="0" applyNumberFormat="1" applyFont="1" applyBorder="1" applyAlignment="1">
      <alignment horizontal="center"/>
    </xf>
    <xf numFmtId="184" fontId="39" fillId="0" borderId="19" xfId="0" applyNumberFormat="1" applyFont="1" applyBorder="1" applyAlignment="1">
      <alignment horizontal="center"/>
    </xf>
    <xf numFmtId="184" fontId="39" fillId="0" borderId="20" xfId="0" applyNumberFormat="1" applyFont="1" applyBorder="1" applyAlignment="1">
      <alignment horizontal="center"/>
    </xf>
    <xf numFmtId="0" fontId="40" fillId="0" borderId="27" xfId="0" applyFont="1" applyBorder="1" applyAlignment="1">
      <alignment/>
    </xf>
    <xf numFmtId="0" fontId="40" fillId="0" borderId="34" xfId="0" applyFont="1" applyBorder="1" applyAlignment="1">
      <alignment/>
    </xf>
    <xf numFmtId="0" fontId="44" fillId="0" borderId="18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center" vertical="center" wrapText="1"/>
    </xf>
    <xf numFmtId="4" fontId="44" fillId="0" borderId="31" xfId="0" applyNumberFormat="1" applyFont="1" applyFill="1" applyBorder="1" applyAlignment="1">
      <alignment horizontal="left" vertical="center" wrapText="1"/>
    </xf>
    <xf numFmtId="0" fontId="44" fillId="0" borderId="31" xfId="0" applyFont="1" applyFill="1" applyBorder="1" applyAlignment="1">
      <alignment horizontal="center" vertical="center" wrapText="1"/>
    </xf>
    <xf numFmtId="4" fontId="44" fillId="19" borderId="18" xfId="0" applyNumberFormat="1" applyFont="1" applyFill="1" applyBorder="1" applyAlignment="1">
      <alignment vertical="center" wrapText="1"/>
    </xf>
    <xf numFmtId="4" fontId="44" fillId="19" borderId="35" xfId="0" applyNumberFormat="1" applyFont="1" applyFill="1" applyBorder="1" applyAlignment="1">
      <alignment vertical="center" wrapText="1"/>
    </xf>
    <xf numFmtId="4" fontId="44" fillId="19" borderId="33" xfId="0" applyNumberFormat="1" applyFont="1" applyFill="1" applyBorder="1" applyAlignment="1">
      <alignment vertical="center" wrapText="1"/>
    </xf>
    <xf numFmtId="0" fontId="26" fillId="0" borderId="31" xfId="0" applyFont="1" applyFill="1" applyBorder="1" applyAlignment="1">
      <alignment horizontal="center" vertical="center"/>
    </xf>
    <xf numFmtId="0" fontId="44" fillId="0" borderId="18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4" fontId="44" fillId="19" borderId="31" xfId="0" applyNumberFormat="1" applyFont="1" applyFill="1" applyBorder="1" applyAlignment="1">
      <alignment vertical="center" wrapText="1"/>
    </xf>
    <xf numFmtId="4" fontId="44" fillId="19" borderId="31" xfId="0" applyNumberFormat="1" applyFont="1" applyFill="1" applyBorder="1" applyAlignment="1">
      <alignment horizontal="left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/>
    </xf>
    <xf numFmtId="0" fontId="43" fillId="0" borderId="0" xfId="0" applyFont="1" applyBorder="1" applyAlignment="1">
      <alignment horizontal="left" wrapText="1"/>
    </xf>
    <xf numFmtId="0" fontId="43" fillId="0" borderId="19" xfId="0" applyFont="1" applyBorder="1" applyAlignment="1">
      <alignment horizontal="left" wrapText="1"/>
    </xf>
    <xf numFmtId="0" fontId="23" fillId="0" borderId="28" xfId="0" applyFont="1" applyBorder="1" applyAlignment="1">
      <alignment horizontal="left"/>
    </xf>
    <xf numFmtId="0" fontId="23" fillId="0" borderId="29" xfId="0" applyFont="1" applyBorder="1" applyAlignment="1">
      <alignment horizontal="left"/>
    </xf>
    <xf numFmtId="0" fontId="31" fillId="0" borderId="19" xfId="0" applyFont="1" applyBorder="1" applyAlignment="1">
      <alignment horizontal="left"/>
    </xf>
    <xf numFmtId="4" fontId="30" fillId="17" borderId="31" xfId="0" applyNumberFormat="1" applyFont="1" applyFill="1" applyBorder="1" applyAlignment="1">
      <alignment horizontal="center" vertical="center" wrapText="1"/>
    </xf>
    <xf numFmtId="0" fontId="30" fillId="0" borderId="31" xfId="0" applyFont="1" applyBorder="1" applyAlignment="1">
      <alignment vertical="center"/>
    </xf>
    <xf numFmtId="0" fontId="22" fillId="0" borderId="0" xfId="0" applyFont="1" applyBorder="1" applyAlignment="1">
      <alignment horizontal="justify" wrapText="1"/>
    </xf>
    <xf numFmtId="0" fontId="22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8" fillId="6" borderId="10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18" fillId="20" borderId="31" xfId="0" applyFont="1" applyFill="1" applyBorder="1" applyAlignment="1">
      <alignment horizontal="center" vertical="center" wrapText="1"/>
    </xf>
    <xf numFmtId="1" fontId="18" fillId="20" borderId="27" xfId="0" applyNumberFormat="1" applyFont="1" applyFill="1" applyBorder="1" applyAlignment="1">
      <alignment horizontal="center" vertical="center" wrapText="1"/>
    </xf>
    <xf numFmtId="1" fontId="18" fillId="20" borderId="28" xfId="0" applyNumberFormat="1" applyFont="1" applyFill="1" applyBorder="1" applyAlignment="1">
      <alignment horizontal="center" vertical="center" wrapText="1"/>
    </xf>
    <xf numFmtId="1" fontId="18" fillId="20" borderId="29" xfId="0" applyNumberFormat="1" applyFont="1" applyFill="1" applyBorder="1" applyAlignment="1">
      <alignment horizontal="center" vertical="center" wrapText="1"/>
    </xf>
    <xf numFmtId="1" fontId="18" fillId="20" borderId="31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left"/>
    </xf>
    <xf numFmtId="0" fontId="29" fillId="0" borderId="19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wrapText="1"/>
    </xf>
    <xf numFmtId="185" fontId="22" fillId="0" borderId="30" xfId="0" applyNumberFormat="1" applyFont="1" applyFill="1" applyBorder="1" applyAlignment="1">
      <alignment horizontal="right" wrapText="1"/>
    </xf>
    <xf numFmtId="0" fontId="22" fillId="0" borderId="30" xfId="0" applyFont="1" applyFill="1" applyBorder="1" applyAlignment="1">
      <alignment horizontal="right" wrapText="1"/>
    </xf>
    <xf numFmtId="0" fontId="18" fillId="0" borderId="0" xfId="0" applyFont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D8D8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C0C0C"/>
      <rgbColor rgb="00333300"/>
      <rgbColor rgb="00993300"/>
      <rgbColor rgb="00993366"/>
      <rgbColor rgb="00333399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tabilidade%20Or&#231;amento\Nizeti\Execu&#231;&#227;o%20Or&#231;ament&#225;ria\LDO\LDO%202019\Lei%20n&#186;%206252%20%20LDO%202019\Anexo%20de%20Metas%20Fiscais\Memoria%20e%20Metodologia%20do%20Anexo%20de%20Metas%20Fisca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AS ANUAIS PARA A RECEITA"/>
      <sheetName val="EVOLUÇÃO DA RECEITA"/>
      <sheetName val="VARIAÇÃO DA RECEITA"/>
      <sheetName val="RECEITA CORRENTE LÍQUIDA"/>
      <sheetName val="METAS ANUAIS DE DESPESA"/>
      <sheetName val="VARIAÇÃO DA DESPESA"/>
      <sheetName val="META DO RESULTADO PRIMÁRIO"/>
      <sheetName val="META DO RESULTADO NOMINAL"/>
      <sheetName val="MONTANTE DA DÍVIDA PÚBLICA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H33" sqref="H33"/>
    </sheetView>
  </sheetViews>
  <sheetFormatPr defaultColWidth="9.140625" defaultRowHeight="12.75"/>
  <cols>
    <col min="1" max="1" width="27.57421875" style="0" customWidth="1"/>
    <col min="2" max="2" width="14.421875" style="0" customWidth="1"/>
    <col min="3" max="8" width="15.7109375" style="0" customWidth="1"/>
  </cols>
  <sheetData>
    <row r="1" spans="1:8" s="2" customFormat="1" ht="12.75">
      <c r="A1" s="243" t="s">
        <v>0</v>
      </c>
      <c r="B1" s="243"/>
      <c r="C1" s="243"/>
      <c r="D1" s="243"/>
      <c r="E1" s="243"/>
      <c r="F1" s="243"/>
      <c r="G1" s="243"/>
      <c r="H1" s="243"/>
    </row>
    <row r="2" spans="1:8" s="2" customFormat="1" ht="12.75">
      <c r="A2" s="243" t="s">
        <v>1</v>
      </c>
      <c r="B2" s="243"/>
      <c r="C2" s="243"/>
      <c r="D2" s="243"/>
      <c r="E2" s="243"/>
      <c r="F2" s="243"/>
      <c r="G2" s="243"/>
      <c r="H2" s="243"/>
    </row>
    <row r="3" spans="1:8" s="2" customFormat="1" ht="12.75">
      <c r="A3" s="243">
        <v>2021</v>
      </c>
      <c r="B3" s="243"/>
      <c r="C3" s="243"/>
      <c r="D3" s="243"/>
      <c r="E3" s="243"/>
      <c r="F3" s="243"/>
      <c r="G3" s="243"/>
      <c r="H3" s="243"/>
    </row>
    <row r="4" spans="1:8" s="3" customFormat="1" ht="9" customHeight="1">
      <c r="A4" s="244" t="s">
        <v>2</v>
      </c>
      <c r="B4" s="244"/>
      <c r="C4" s="244"/>
      <c r="D4" s="244"/>
      <c r="E4" s="244"/>
      <c r="F4" s="244"/>
      <c r="G4" s="244"/>
      <c r="H4" s="244"/>
    </row>
    <row r="5" spans="1:10" s="3" customFormat="1" ht="15">
      <c r="A5" s="245" t="s">
        <v>3</v>
      </c>
      <c r="B5" s="245"/>
      <c r="C5" s="245"/>
      <c r="D5" s="245"/>
      <c r="E5" s="245"/>
      <c r="F5" s="245"/>
      <c r="G5" s="245"/>
      <c r="H5" s="245"/>
      <c r="I5" s="5"/>
      <c r="J5" s="5"/>
    </row>
    <row r="6" spans="1:10" s="3" customFormat="1" ht="12" customHeight="1">
      <c r="A6" s="6"/>
      <c r="B6" s="5"/>
      <c r="C6" s="5"/>
      <c r="D6" s="5"/>
      <c r="E6" s="5"/>
      <c r="F6" s="5"/>
      <c r="G6" s="5"/>
      <c r="H6" s="5"/>
      <c r="I6" s="5"/>
      <c r="J6" s="5"/>
    </row>
    <row r="7" spans="1:8" s="3" customFormat="1" ht="15">
      <c r="A7" s="7" t="s">
        <v>4</v>
      </c>
      <c r="B7" s="5"/>
      <c r="C7" s="5"/>
      <c r="D7" s="5"/>
      <c r="E7" s="5"/>
      <c r="F7" s="5"/>
      <c r="G7" s="5"/>
      <c r="H7" s="8">
        <v>1</v>
      </c>
    </row>
    <row r="8" spans="1:14" s="163" customFormat="1" ht="59.25" customHeight="1">
      <c r="A8" s="246" t="s">
        <v>5</v>
      </c>
      <c r="B8" s="246" t="s">
        <v>6</v>
      </c>
      <c r="C8" s="246"/>
      <c r="D8" s="246"/>
      <c r="E8" s="164" t="s">
        <v>7</v>
      </c>
      <c r="F8" s="164" t="s">
        <v>8</v>
      </c>
      <c r="G8" s="246" t="s">
        <v>275</v>
      </c>
      <c r="H8" s="246"/>
      <c r="I8" s="3"/>
      <c r="J8" s="3"/>
      <c r="K8" s="3"/>
      <c r="L8" s="3"/>
      <c r="M8" s="162"/>
      <c r="N8" s="162"/>
    </row>
    <row r="9" spans="1:14" s="163" customFormat="1" ht="21.75" customHeight="1">
      <c r="A9" s="246"/>
      <c r="B9" s="165">
        <v>2017</v>
      </c>
      <c r="C9" s="165">
        <v>2018</v>
      </c>
      <c r="D9" s="165">
        <v>2019</v>
      </c>
      <c r="E9" s="165">
        <v>2020</v>
      </c>
      <c r="F9" s="165">
        <v>2021</v>
      </c>
      <c r="G9" s="165">
        <v>2022</v>
      </c>
      <c r="H9" s="165">
        <v>2023</v>
      </c>
      <c r="I9" s="14"/>
      <c r="J9" s="14"/>
      <c r="K9" s="14"/>
      <c r="L9" s="14"/>
      <c r="M9" s="95"/>
      <c r="N9" s="95"/>
    </row>
    <row r="10" spans="1:14" s="11" customFormat="1" ht="13.5" customHeight="1">
      <c r="A10" s="9" t="s">
        <v>9</v>
      </c>
      <c r="B10" s="10">
        <f aca="true" t="shared" si="0" ref="B10:H10">B11+B18+B24+B28+B25+B27+B26</f>
        <v>643926206.8500001</v>
      </c>
      <c r="C10" s="10">
        <f t="shared" si="0"/>
        <v>724555508.5600001</v>
      </c>
      <c r="D10" s="10">
        <f t="shared" si="0"/>
        <v>780413305.0000001</v>
      </c>
      <c r="E10" s="10">
        <f t="shared" si="0"/>
        <v>807989301.7300001</v>
      </c>
      <c r="F10" s="10">
        <f t="shared" si="0"/>
        <v>855000000</v>
      </c>
      <c r="G10" s="10">
        <f t="shared" si="0"/>
        <v>833600000</v>
      </c>
      <c r="H10" s="10">
        <f t="shared" si="0"/>
        <v>873400000</v>
      </c>
      <c r="I10" s="3"/>
      <c r="J10" s="3"/>
      <c r="K10" s="3"/>
      <c r="L10" s="3"/>
      <c r="M10" s="3"/>
      <c r="N10" s="3"/>
    </row>
    <row r="11" spans="1:14" s="14" customFormat="1" ht="13.5" customHeight="1">
      <c r="A11" s="12" t="s">
        <v>10</v>
      </c>
      <c r="B11" s="13">
        <f>SUM(B12:B17)</f>
        <v>627569450.6400001</v>
      </c>
      <c r="C11" s="13">
        <f>SUM(C12:C17)</f>
        <v>683355627.22</v>
      </c>
      <c r="D11" s="13">
        <f>SUM(D12:D17)</f>
        <v>725597969.77</v>
      </c>
      <c r="E11" s="13">
        <f>SUM(E12:E17)</f>
        <v>707987475.1200001</v>
      </c>
      <c r="F11" s="13">
        <f>SUM(F12:F17)</f>
        <v>727990695.73</v>
      </c>
      <c r="G11" s="13">
        <f>SUM(G12:G17)</f>
        <v>759441000</v>
      </c>
      <c r="H11" s="13">
        <f>SUM(H12:H17)</f>
        <v>785924900</v>
      </c>
      <c r="I11" s="3"/>
      <c r="J11" s="3"/>
      <c r="K11" s="3"/>
      <c r="L11" s="3"/>
      <c r="M11" s="3"/>
      <c r="N11" s="3"/>
    </row>
    <row r="12" spans="1:8" s="3" customFormat="1" ht="27.75" customHeight="1">
      <c r="A12" s="15" t="s">
        <v>339</v>
      </c>
      <c r="B12" s="16">
        <v>168949435.12</v>
      </c>
      <c r="C12" s="16">
        <v>195932453.26</v>
      </c>
      <c r="D12" s="16">
        <v>214936009.8</v>
      </c>
      <c r="E12" s="16">
        <v>205874471.62</v>
      </c>
      <c r="F12" s="16">
        <v>228300500</v>
      </c>
      <c r="G12" s="16">
        <v>238635100</v>
      </c>
      <c r="H12" s="16">
        <v>248828020</v>
      </c>
    </row>
    <row r="13" spans="1:8" s="3" customFormat="1" ht="13.5" customHeight="1">
      <c r="A13" s="15" t="s">
        <v>340</v>
      </c>
      <c r="B13" s="16">
        <v>41305373.1</v>
      </c>
      <c r="C13" s="16">
        <v>43343910.4</v>
      </c>
      <c r="D13" s="16">
        <v>45006075.6</v>
      </c>
      <c r="E13" s="16">
        <v>49155156.52</v>
      </c>
      <c r="F13" s="16">
        <v>55326000</v>
      </c>
      <c r="G13" s="16">
        <v>57227800</v>
      </c>
      <c r="H13" s="16">
        <v>60369300</v>
      </c>
    </row>
    <row r="14" spans="1:8" s="3" customFormat="1" ht="13.5" customHeight="1">
      <c r="A14" s="15" t="s">
        <v>11</v>
      </c>
      <c r="B14" s="16">
        <v>56157122.07</v>
      </c>
      <c r="C14" s="16">
        <v>46355865.89</v>
      </c>
      <c r="D14" s="16">
        <v>66041966.92</v>
      </c>
      <c r="E14" s="16">
        <v>40604448.4</v>
      </c>
      <c r="F14" s="16">
        <v>34017695.73</v>
      </c>
      <c r="G14" s="16">
        <v>38760600</v>
      </c>
      <c r="H14" s="16">
        <v>41304780</v>
      </c>
    </row>
    <row r="15" spans="1:8" s="3" customFormat="1" ht="13.5" customHeight="1">
      <c r="A15" s="15" t="s">
        <v>12</v>
      </c>
      <c r="B15" s="16">
        <v>3433705.2</v>
      </c>
      <c r="C15" s="16">
        <v>2612198.75</v>
      </c>
      <c r="D15" s="16">
        <v>275.92</v>
      </c>
      <c r="E15" s="16">
        <v>838056.66</v>
      </c>
      <c r="F15" s="16">
        <v>3000</v>
      </c>
      <c r="G15" s="16">
        <v>0</v>
      </c>
      <c r="H15" s="16">
        <v>0</v>
      </c>
    </row>
    <row r="16" spans="1:8" s="3" customFormat="1" ht="13.5" customHeight="1">
      <c r="A16" s="15" t="s">
        <v>13</v>
      </c>
      <c r="B16" s="16">
        <v>323479632.67</v>
      </c>
      <c r="C16" s="16">
        <v>364004378.54</v>
      </c>
      <c r="D16" s="16">
        <v>383393849.01</v>
      </c>
      <c r="E16" s="16">
        <v>397182541.44</v>
      </c>
      <c r="F16" s="16">
        <v>395987100</v>
      </c>
      <c r="G16" s="16">
        <v>409800400</v>
      </c>
      <c r="H16" s="16">
        <v>422361800</v>
      </c>
    </row>
    <row r="17" spans="1:8" s="3" customFormat="1" ht="13.5" customHeight="1">
      <c r="A17" s="15" t="s">
        <v>14</v>
      </c>
      <c r="B17" s="16">
        <v>34244182.48</v>
      </c>
      <c r="C17" s="16">
        <v>31106820.38</v>
      </c>
      <c r="D17" s="16">
        <v>16219792.52</v>
      </c>
      <c r="E17" s="16">
        <v>14332800.48</v>
      </c>
      <c r="F17" s="16">
        <v>14356400</v>
      </c>
      <c r="G17" s="16">
        <v>15017100</v>
      </c>
      <c r="H17" s="16">
        <v>13061000</v>
      </c>
    </row>
    <row r="18" spans="1:8" s="14" customFormat="1" ht="13.5" customHeight="1">
      <c r="A18" s="17" t="s">
        <v>15</v>
      </c>
      <c r="B18" s="18">
        <f aca="true" t="shared" si="1" ref="B18:H18">SUM(B19:B23)</f>
        <v>7791563.080000001</v>
      </c>
      <c r="C18" s="18">
        <f t="shared" si="1"/>
        <v>23520701.400000002</v>
      </c>
      <c r="D18" s="18">
        <f t="shared" si="1"/>
        <v>30603967.14</v>
      </c>
      <c r="E18" s="18">
        <f t="shared" si="1"/>
        <v>28176577.630000003</v>
      </c>
      <c r="F18" s="18">
        <f t="shared" si="1"/>
        <v>70660404.27</v>
      </c>
      <c r="G18" s="18">
        <f t="shared" si="1"/>
        <v>1881400</v>
      </c>
      <c r="H18" s="18">
        <f t="shared" si="1"/>
        <v>1932500</v>
      </c>
    </row>
    <row r="19" spans="1:8" s="3" customFormat="1" ht="13.5" customHeight="1">
      <c r="A19" s="15" t="s">
        <v>16</v>
      </c>
      <c r="B19" s="16">
        <v>4391904.61</v>
      </c>
      <c r="C19" s="16">
        <v>6492044.48</v>
      </c>
      <c r="D19" s="16">
        <v>9582608.97</v>
      </c>
      <c r="E19" s="16">
        <v>7051962.07</v>
      </c>
      <c r="F19" s="16">
        <v>18974822.77</v>
      </c>
      <c r="G19" s="16">
        <v>0</v>
      </c>
      <c r="H19" s="16">
        <v>0</v>
      </c>
    </row>
    <row r="20" spans="1:8" s="3" customFormat="1" ht="13.5" customHeight="1">
      <c r="A20" s="15" t="s">
        <v>17</v>
      </c>
      <c r="B20" s="16">
        <v>583990.42</v>
      </c>
      <c r="C20" s="16">
        <v>88860.85</v>
      </c>
      <c r="D20" s="16">
        <v>183820.02</v>
      </c>
      <c r="E20" s="16">
        <v>1149514.02</v>
      </c>
      <c r="F20" s="16">
        <v>16353800</v>
      </c>
      <c r="G20" s="16">
        <v>1850000</v>
      </c>
      <c r="H20" s="16">
        <v>1900000</v>
      </c>
    </row>
    <row r="21" spans="1:8" s="3" customFormat="1" ht="13.5" customHeight="1">
      <c r="A21" s="15" t="s">
        <v>18</v>
      </c>
      <c r="B21" s="16">
        <v>20791.99</v>
      </c>
      <c r="C21" s="16">
        <v>29825.97</v>
      </c>
      <c r="D21" s="16">
        <v>31172.53</v>
      </c>
      <c r="E21" s="16">
        <v>30559.37</v>
      </c>
      <c r="F21" s="16">
        <v>30400</v>
      </c>
      <c r="G21" s="16">
        <v>31400</v>
      </c>
      <c r="H21" s="16">
        <v>32500</v>
      </c>
    </row>
    <row r="22" spans="1:8" s="3" customFormat="1" ht="13.5" customHeight="1">
      <c r="A22" s="15" t="s">
        <v>19</v>
      </c>
      <c r="B22" s="16">
        <v>2792795.99</v>
      </c>
      <c r="C22" s="16">
        <v>16909970.1</v>
      </c>
      <c r="D22" s="16">
        <v>20806365.62</v>
      </c>
      <c r="E22" s="16">
        <v>19944542.17</v>
      </c>
      <c r="F22" s="16">
        <v>35301381.5</v>
      </c>
      <c r="G22" s="16">
        <v>0</v>
      </c>
      <c r="H22" s="16">
        <v>0</v>
      </c>
    </row>
    <row r="23" spans="1:8" s="3" customFormat="1" ht="13.5" customHeight="1">
      <c r="A23" s="15" t="s">
        <v>20</v>
      </c>
      <c r="B23" s="16">
        <v>2080.07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</row>
    <row r="24" spans="1:8" s="3" customFormat="1" ht="13.5" customHeight="1">
      <c r="A24" s="161" t="s">
        <v>21</v>
      </c>
      <c r="B24" s="13">
        <v>70771348.38</v>
      </c>
      <c r="C24" s="13">
        <v>82272479.16</v>
      </c>
      <c r="D24" s="13">
        <v>94149418.58</v>
      </c>
      <c r="E24" s="13">
        <v>116793128.67</v>
      </c>
      <c r="F24" s="13">
        <v>116665100</v>
      </c>
      <c r="G24" s="13">
        <v>134813600</v>
      </c>
      <c r="H24" s="13">
        <v>150104200</v>
      </c>
    </row>
    <row r="25" spans="1:8" s="3" customFormat="1" ht="13.5" customHeight="1">
      <c r="A25" s="19" t="s">
        <v>274</v>
      </c>
      <c r="B25" s="20">
        <v>-1464340.79</v>
      </c>
      <c r="C25" s="20">
        <v>-792515.05</v>
      </c>
      <c r="D25" s="20">
        <v>-604276.1</v>
      </c>
      <c r="E25" s="20">
        <v>-593413.04</v>
      </c>
      <c r="F25" s="20">
        <v>-14912000</v>
      </c>
      <c r="G25" s="20">
        <v>-15430000</v>
      </c>
      <c r="H25" s="20">
        <v>-15930000</v>
      </c>
    </row>
    <row r="26" spans="1:8" s="3" customFormat="1" ht="13.5" customHeight="1">
      <c r="A26" s="19" t="s">
        <v>314</v>
      </c>
      <c r="B26" s="20">
        <v>-17872248.72</v>
      </c>
      <c r="C26" s="20">
        <v>-18188162.15</v>
      </c>
      <c r="D26" s="20">
        <v>-21976471.17</v>
      </c>
      <c r="E26" s="20">
        <v>0</v>
      </c>
      <c r="F26" s="20">
        <v>0</v>
      </c>
      <c r="G26" s="20">
        <v>0</v>
      </c>
      <c r="H26" s="20">
        <v>0</v>
      </c>
    </row>
    <row r="27" spans="1:8" s="3" customFormat="1" ht="13.5" customHeight="1">
      <c r="A27" s="19" t="s">
        <v>313</v>
      </c>
      <c r="B27" s="20">
        <f>-62206155.25-B25-B26-B28</f>
        <v>-4579122.130000003</v>
      </c>
      <c r="C27" s="20">
        <v>-3310393.05</v>
      </c>
      <c r="D27" s="20">
        <v>-3807670.79</v>
      </c>
      <c r="E27" s="20">
        <v>-2614489.49</v>
      </c>
      <c r="F27" s="20">
        <v>0</v>
      </c>
      <c r="G27" s="20">
        <v>0</v>
      </c>
      <c r="H27" s="20">
        <v>0</v>
      </c>
    </row>
    <row r="28" spans="1:8" s="3" customFormat="1" ht="13.5" customHeight="1">
      <c r="A28" s="19" t="s">
        <v>22</v>
      </c>
      <c r="B28" s="20">
        <v>-38290443.61</v>
      </c>
      <c r="C28" s="20">
        <v>-42302228.97</v>
      </c>
      <c r="D28" s="20">
        <v>-43549632.43</v>
      </c>
      <c r="E28" s="20">
        <v>-41759977.16</v>
      </c>
      <c r="F28" s="20">
        <v>-45404200</v>
      </c>
      <c r="G28" s="20">
        <v>-47106000</v>
      </c>
      <c r="H28" s="20">
        <v>-48631600</v>
      </c>
    </row>
    <row r="29" s="3" customFormat="1" ht="15">
      <c r="A29" s="21"/>
    </row>
    <row r="30" spans="1:8" s="11" customFormat="1" ht="15">
      <c r="A30" s="241" t="s">
        <v>23</v>
      </c>
      <c r="B30" s="242" t="s">
        <v>24</v>
      </c>
      <c r="C30" s="242"/>
      <c r="D30" s="242"/>
      <c r="E30" s="22" t="s">
        <v>395</v>
      </c>
      <c r="F30" s="23">
        <v>2021</v>
      </c>
      <c r="G30" s="23">
        <v>2022</v>
      </c>
      <c r="H30" s="23">
        <v>2023</v>
      </c>
    </row>
    <row r="31" spans="1:8" s="11" customFormat="1" ht="15">
      <c r="A31" s="241"/>
      <c r="B31" s="13">
        <f>B32+B33</f>
        <v>625129939.71</v>
      </c>
      <c r="C31" s="13">
        <f>C32+C33</f>
        <v>670867730.14</v>
      </c>
      <c r="D31" s="13">
        <f>D32+D33</f>
        <v>728847490.87</v>
      </c>
      <c r="E31" s="13">
        <f>E32+E33</f>
        <v>763345000</v>
      </c>
      <c r="F31" s="13">
        <f>F32+F33+F34</f>
        <v>855000000</v>
      </c>
      <c r="G31" s="13">
        <f>G32+G33+G34</f>
        <v>833600000.0015001</v>
      </c>
      <c r="H31" s="13">
        <f>H32+H33+H34</f>
        <v>873399999.9952738</v>
      </c>
    </row>
    <row r="32" spans="1:8" s="3" customFormat="1" ht="19.5" customHeight="1">
      <c r="A32" s="24" t="s">
        <v>25</v>
      </c>
      <c r="B32" s="16">
        <v>589590480.1</v>
      </c>
      <c r="C32" s="16">
        <v>638891644.17</v>
      </c>
      <c r="D32" s="16">
        <v>685583392.16</v>
      </c>
      <c r="E32" s="16">
        <v>700630000</v>
      </c>
      <c r="F32" s="16">
        <v>712743954.44</v>
      </c>
      <c r="G32" s="16">
        <f>F32*1.0375</f>
        <v>739471852.7315001</v>
      </c>
      <c r="H32" s="16">
        <f>G32*1.0325</f>
        <v>763504687.9452739</v>
      </c>
    </row>
    <row r="33" spans="1:8" s="3" customFormat="1" ht="15">
      <c r="A33" s="24" t="s">
        <v>26</v>
      </c>
      <c r="B33" s="16">
        <v>35539459.61</v>
      </c>
      <c r="C33" s="16">
        <v>31976085.97</v>
      </c>
      <c r="D33" s="16">
        <v>43264098.71</v>
      </c>
      <c r="E33" s="16">
        <v>62715000</v>
      </c>
      <c r="F33" s="16">
        <v>122828045.56</v>
      </c>
      <c r="G33" s="16">
        <v>73978147.27</v>
      </c>
      <c r="H33" s="16">
        <v>89095312.05</v>
      </c>
    </row>
    <row r="34" spans="1:8" s="3" customFormat="1" ht="15">
      <c r="A34" s="24" t="s">
        <v>27</v>
      </c>
      <c r="B34" s="16"/>
      <c r="C34" s="16"/>
      <c r="D34" s="16"/>
      <c r="E34" s="16"/>
      <c r="F34" s="16">
        <v>19428000</v>
      </c>
      <c r="G34" s="16">
        <v>20150000</v>
      </c>
      <c r="H34" s="16">
        <v>20800000</v>
      </c>
    </row>
  </sheetData>
  <sheetProtection/>
  <mergeCells count="10">
    <mergeCell ref="A30:A31"/>
    <mergeCell ref="B30:D30"/>
    <mergeCell ref="A1:H1"/>
    <mergeCell ref="A2:H2"/>
    <mergeCell ref="A3:H3"/>
    <mergeCell ref="A4:H4"/>
    <mergeCell ref="A5:H5"/>
    <mergeCell ref="A8:A9"/>
    <mergeCell ref="B8:D8"/>
    <mergeCell ref="G8:H8"/>
  </mergeCells>
  <printOptions horizontalCentered="1"/>
  <pageMargins left="0.2362204724409449" right="0.2362204724409449" top="0.63" bottom="0.35" header="0.35" footer="0.17"/>
  <pageSetup fitToHeight="0" orientation="landscape" paperSize="9" r:id="rId1"/>
  <headerFooter alignWithMargins="0">
    <oddHeader>&amp;C&amp;"-,Regular"&amp;12ANEXO III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B25" sqref="B25"/>
    </sheetView>
  </sheetViews>
  <sheetFormatPr defaultColWidth="11.57421875" defaultRowHeight="12.75"/>
  <cols>
    <col min="1" max="1" width="50.7109375" style="2" customWidth="1"/>
    <col min="2" max="2" width="42.7109375" style="2" customWidth="1"/>
    <col min="3" max="16384" width="11.57421875" style="2" customWidth="1"/>
  </cols>
  <sheetData>
    <row r="1" spans="1:2" ht="12.75">
      <c r="A1" s="285" t="s">
        <v>246</v>
      </c>
      <c r="B1" s="285"/>
    </row>
    <row r="2" spans="1:2" ht="12.75">
      <c r="A2" s="285" t="s">
        <v>247</v>
      </c>
      <c r="B2" s="285"/>
    </row>
    <row r="3" spans="1:2" ht="12.75">
      <c r="A3" s="285">
        <v>2021</v>
      </c>
      <c r="B3" s="285"/>
    </row>
    <row r="4" spans="1:2" ht="12.75">
      <c r="A4" s="82"/>
      <c r="B4" s="82"/>
    </row>
    <row r="5" spans="1:2" ht="15">
      <c r="A5" s="286" t="s">
        <v>248</v>
      </c>
      <c r="B5" s="286"/>
    </row>
    <row r="6" ht="12.75">
      <c r="A6" s="83"/>
    </row>
    <row r="8" spans="1:2" ht="12.75">
      <c r="A8" s="48" t="s">
        <v>249</v>
      </c>
      <c r="B8" s="156">
        <v>1</v>
      </c>
    </row>
    <row r="9" spans="1:2" ht="12.75">
      <c r="A9" s="287" t="s">
        <v>250</v>
      </c>
      <c r="B9" s="287">
        <v>2021</v>
      </c>
    </row>
    <row r="10" spans="1:2" ht="12.75">
      <c r="A10" s="287"/>
      <c r="B10" s="287"/>
    </row>
    <row r="11" spans="1:2" ht="18.75" customHeight="1">
      <c r="A11" s="142" t="s">
        <v>251</v>
      </c>
      <c r="B11" s="147">
        <v>0</v>
      </c>
    </row>
    <row r="12" spans="1:2" ht="18.75" customHeight="1">
      <c r="A12" s="143" t="s">
        <v>252</v>
      </c>
      <c r="B12" s="148">
        <v>0</v>
      </c>
    </row>
    <row r="13" spans="1:2" ht="18.75" customHeight="1">
      <c r="A13" s="144" t="s">
        <v>310</v>
      </c>
      <c r="B13" s="149">
        <v>0</v>
      </c>
    </row>
    <row r="14" spans="1:2" s="81" customFormat="1" ht="18.75" customHeight="1">
      <c r="A14" s="145" t="s">
        <v>253</v>
      </c>
      <c r="B14" s="150">
        <f>B11-B12-B13</f>
        <v>0</v>
      </c>
    </row>
    <row r="15" spans="1:2" ht="18.75" customHeight="1">
      <c r="A15" s="146" t="s">
        <v>254</v>
      </c>
      <c r="B15" s="151">
        <v>0</v>
      </c>
    </row>
    <row r="16" spans="1:2" ht="18.75" customHeight="1">
      <c r="A16" s="145" t="s">
        <v>255</v>
      </c>
      <c r="B16" s="151">
        <f>B14+B15</f>
        <v>0</v>
      </c>
    </row>
    <row r="17" spans="1:2" ht="18.75" customHeight="1">
      <c r="A17" s="142" t="s">
        <v>256</v>
      </c>
      <c r="B17" s="147">
        <f>B18</f>
        <v>0</v>
      </c>
    </row>
    <row r="18" spans="1:2" ht="18.75" customHeight="1">
      <c r="A18" s="143" t="s">
        <v>257</v>
      </c>
      <c r="B18" s="149">
        <v>0</v>
      </c>
    </row>
    <row r="19" spans="1:2" s="81" customFormat="1" ht="18.75" customHeight="1">
      <c r="A19" s="145" t="s">
        <v>258</v>
      </c>
      <c r="B19" s="150">
        <f>B16-B17</f>
        <v>0</v>
      </c>
    </row>
    <row r="20" spans="1:2" ht="12.75">
      <c r="A20" s="284" t="s">
        <v>309</v>
      </c>
      <c r="B20" s="284"/>
    </row>
    <row r="22" spans="1:2" ht="42" customHeight="1">
      <c r="A22" s="283" t="s">
        <v>405</v>
      </c>
      <c r="B22" s="283"/>
    </row>
  </sheetData>
  <sheetProtection/>
  <mergeCells count="8">
    <mergeCell ref="A22:B22"/>
    <mergeCell ref="A20:B20"/>
    <mergeCell ref="A1:B1"/>
    <mergeCell ref="A2:B2"/>
    <mergeCell ref="A3:B3"/>
    <mergeCell ref="A5:B5"/>
    <mergeCell ref="A9:A10"/>
    <mergeCell ref="B9:B10"/>
  </mergeCells>
  <printOptions horizontalCentered="1"/>
  <pageMargins left="0.3937007874015748" right="0.3937007874015748" top="0.5905511811023623" bottom="0.3937007874015748" header="0.31496062992125984" footer="0.5118110236220472"/>
  <pageSetup fitToHeight="0" horizontalDpi="600" verticalDpi="600" orientation="landscape" paperSize="9" r:id="rId1"/>
  <headerFooter alignWithMargins="0">
    <oddHeader>&amp;C&amp;"-,Regular"&amp;12ANEXO XIII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U17"/>
  <sheetViews>
    <sheetView zoomScalePageLayoutView="0" workbookViewId="0" topLeftCell="A32000">
      <selection activeCell="C23" sqref="C23"/>
    </sheetView>
  </sheetViews>
  <sheetFormatPr defaultColWidth="11.140625" defaultRowHeight="12.75"/>
  <cols>
    <col min="1" max="1" width="34.7109375" style="0" customWidth="1"/>
    <col min="2" max="2" width="11.7109375" style="0" customWidth="1"/>
    <col min="3" max="6" width="11.28125" style="0" customWidth="1"/>
  </cols>
  <sheetData>
    <row r="1" spans="1:9" ht="12.75" hidden="1">
      <c r="A1" s="247" t="s">
        <v>259</v>
      </c>
      <c r="B1" s="247"/>
      <c r="C1" s="247"/>
      <c r="D1" s="247"/>
      <c r="E1" s="247"/>
      <c r="F1" s="247"/>
      <c r="G1" s="247"/>
      <c r="H1" s="247"/>
      <c r="I1" s="26"/>
    </row>
    <row r="2" spans="1:9" ht="12.75" hidden="1">
      <c r="A2" s="247" t="s">
        <v>260</v>
      </c>
      <c r="B2" s="247"/>
      <c r="C2" s="247"/>
      <c r="D2" s="247"/>
      <c r="E2" s="247"/>
      <c r="F2" s="247"/>
      <c r="G2" s="247"/>
      <c r="H2" s="247"/>
      <c r="I2" s="26"/>
    </row>
    <row r="3" spans="1:9" ht="12.75" hidden="1">
      <c r="A3" s="247">
        <v>2009</v>
      </c>
      <c r="B3" s="247"/>
      <c r="C3" s="247"/>
      <c r="D3" s="247"/>
      <c r="E3" s="247"/>
      <c r="F3" s="247"/>
      <c r="G3" s="247"/>
      <c r="H3" s="247"/>
      <c r="I3" s="26"/>
    </row>
    <row r="4" spans="1:9" ht="12.75" hidden="1">
      <c r="A4" s="247" t="s">
        <v>261</v>
      </c>
      <c r="B4" s="247"/>
      <c r="C4" s="247"/>
      <c r="D4" s="247"/>
      <c r="E4" s="247"/>
      <c r="F4" s="247"/>
      <c r="G4" s="247"/>
      <c r="H4" s="247"/>
      <c r="I4" s="26"/>
    </row>
    <row r="5" ht="12.75" customHeight="1" hidden="1"/>
    <row r="6" spans="1:8" ht="12.75" customHeight="1" hidden="1">
      <c r="A6" s="84" t="s">
        <v>262</v>
      </c>
      <c r="B6" s="85">
        <v>2005</v>
      </c>
      <c r="C6" s="85">
        <v>2006</v>
      </c>
      <c r="D6" s="85">
        <v>2007</v>
      </c>
      <c r="E6" s="85">
        <v>2008</v>
      </c>
      <c r="F6" s="85">
        <v>2009</v>
      </c>
      <c r="G6" s="85">
        <v>2010</v>
      </c>
      <c r="H6" s="85">
        <v>2011</v>
      </c>
    </row>
    <row r="7" spans="1:8" ht="12.75" hidden="1">
      <c r="A7" s="86" t="s">
        <v>263</v>
      </c>
      <c r="B7" s="87">
        <f aca="true" t="shared" si="0" ref="B7:H7">B8+B9</f>
        <v>38323429.69</v>
      </c>
      <c r="C7" s="87">
        <f t="shared" si="0"/>
        <v>31654866.69</v>
      </c>
      <c r="D7" s="87">
        <f t="shared" si="0"/>
        <v>26351707.75</v>
      </c>
      <c r="E7" s="87">
        <f t="shared" si="0"/>
        <v>44500000</v>
      </c>
      <c r="F7" s="87">
        <f t="shared" si="0"/>
        <v>66144000</v>
      </c>
      <c r="G7" s="87">
        <f t="shared" si="0"/>
        <v>55000000</v>
      </c>
      <c r="H7" s="87">
        <f t="shared" si="0"/>
        <v>50000000</v>
      </c>
    </row>
    <row r="8" spans="1:8" ht="12.75" hidden="1">
      <c r="A8" s="88" t="s">
        <v>264</v>
      </c>
      <c r="B8" s="87">
        <v>0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</row>
    <row r="9" spans="1:8" ht="12.75" hidden="1">
      <c r="A9" s="89" t="s">
        <v>265</v>
      </c>
      <c r="B9" s="87">
        <v>38323429.69</v>
      </c>
      <c r="C9" s="87">
        <v>31654866.69</v>
      </c>
      <c r="D9" s="87">
        <v>26351707.75</v>
      </c>
      <c r="E9" s="87">
        <v>44500000</v>
      </c>
      <c r="F9" s="87">
        <v>66144000</v>
      </c>
      <c r="G9" s="87">
        <v>55000000</v>
      </c>
      <c r="H9" s="87">
        <v>50000000</v>
      </c>
    </row>
    <row r="10" spans="1:255" ht="12.75" hidden="1">
      <c r="A10" s="86" t="s">
        <v>266</v>
      </c>
      <c r="B10" s="90">
        <f aca="true" t="shared" si="1" ref="B10:H10">B11+B12-B13+B14</f>
        <v>0</v>
      </c>
      <c r="C10" s="90">
        <f t="shared" si="1"/>
        <v>0</v>
      </c>
      <c r="D10" s="90">
        <f t="shared" si="1"/>
        <v>0</v>
      </c>
      <c r="E10" s="90">
        <f t="shared" si="1"/>
        <v>0</v>
      </c>
      <c r="F10" s="90">
        <f t="shared" si="1"/>
        <v>0</v>
      </c>
      <c r="G10" s="90">
        <f t="shared" si="1"/>
        <v>0</v>
      </c>
      <c r="H10" s="90">
        <f t="shared" si="1"/>
        <v>0</v>
      </c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  <c r="IU10" s="91"/>
    </row>
    <row r="11" spans="1:8" ht="12.75" hidden="1">
      <c r="A11" s="88" t="s">
        <v>267</v>
      </c>
      <c r="B11" s="87">
        <v>306583.77</v>
      </c>
      <c r="C11" s="87">
        <v>162344.86</v>
      </c>
      <c r="D11" s="87">
        <v>2117369.74</v>
      </c>
      <c r="E11" s="87">
        <v>6000000</v>
      </c>
      <c r="F11" s="87">
        <v>6000000</v>
      </c>
      <c r="G11" s="87">
        <v>3000000</v>
      </c>
      <c r="H11" s="87">
        <v>3000000</v>
      </c>
    </row>
    <row r="12" spans="1:8" ht="12.75" hidden="1">
      <c r="A12" s="88" t="s">
        <v>268</v>
      </c>
      <c r="B12" s="87">
        <v>24769.03</v>
      </c>
      <c r="C12" s="87">
        <v>37057.8</v>
      </c>
      <c r="D12" s="87">
        <v>159970.36</v>
      </c>
      <c r="E12" s="87">
        <v>40000</v>
      </c>
      <c r="F12" s="87">
        <v>40000</v>
      </c>
      <c r="G12" s="87">
        <v>40000</v>
      </c>
      <c r="H12" s="87">
        <v>40000</v>
      </c>
    </row>
    <row r="13" spans="1:8" ht="12.75" hidden="1">
      <c r="A13" s="88" t="s">
        <v>269</v>
      </c>
      <c r="B13" s="87">
        <v>6879428.51</v>
      </c>
      <c r="C13" s="87">
        <v>8658137.01</v>
      </c>
      <c r="D13" s="87">
        <v>18197995.35</v>
      </c>
      <c r="E13" s="87">
        <v>16000000</v>
      </c>
      <c r="F13" s="87">
        <v>15000000</v>
      </c>
      <c r="G13" s="87">
        <v>10000000</v>
      </c>
      <c r="H13" s="87">
        <v>8000000</v>
      </c>
    </row>
    <row r="14" spans="1:8" ht="12.75" hidden="1">
      <c r="A14" s="92" t="s">
        <v>270</v>
      </c>
      <c r="B14" s="87">
        <f aca="true" t="shared" si="2" ref="B14:H14">B15</f>
        <v>6548075.71</v>
      </c>
      <c r="C14" s="87">
        <f t="shared" si="2"/>
        <v>8458734.35</v>
      </c>
      <c r="D14" s="87">
        <f t="shared" si="2"/>
        <v>15920655.25</v>
      </c>
      <c r="E14" s="87">
        <f t="shared" si="2"/>
        <v>9960000</v>
      </c>
      <c r="F14" s="87">
        <f t="shared" si="2"/>
        <v>8960000</v>
      </c>
      <c r="G14" s="87">
        <f t="shared" si="2"/>
        <v>6960000</v>
      </c>
      <c r="H14" s="87">
        <f t="shared" si="2"/>
        <v>4960000</v>
      </c>
    </row>
    <row r="15" spans="1:8" ht="12.75" hidden="1">
      <c r="A15" s="89" t="s">
        <v>271</v>
      </c>
      <c r="B15" s="87">
        <v>6548075.71</v>
      </c>
      <c r="C15" s="87">
        <v>8458734.35</v>
      </c>
      <c r="D15" s="87">
        <v>15920655.25</v>
      </c>
      <c r="E15" s="87">
        <v>9960000</v>
      </c>
      <c r="F15" s="87">
        <v>8960000</v>
      </c>
      <c r="G15" s="87">
        <v>6960000</v>
      </c>
      <c r="H15" s="87">
        <v>4960000</v>
      </c>
    </row>
    <row r="16" spans="1:255" ht="12.75" hidden="1">
      <c r="A16" s="93" t="s">
        <v>272</v>
      </c>
      <c r="B16" s="90">
        <f aca="true" t="shared" si="3" ref="B16:H16">B7-B10</f>
        <v>38323429.69</v>
      </c>
      <c r="C16" s="90">
        <f t="shared" si="3"/>
        <v>31654866.69</v>
      </c>
      <c r="D16" s="90">
        <f t="shared" si="3"/>
        <v>26351707.75</v>
      </c>
      <c r="E16" s="90">
        <f t="shared" si="3"/>
        <v>44500000</v>
      </c>
      <c r="F16" s="90">
        <f t="shared" si="3"/>
        <v>66144000</v>
      </c>
      <c r="G16" s="90">
        <f t="shared" si="3"/>
        <v>55000000</v>
      </c>
      <c r="H16" s="90">
        <f t="shared" si="3"/>
        <v>50000000</v>
      </c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  <c r="IU16" s="91"/>
    </row>
    <row r="17" spans="1:9" ht="12.75" hidden="1">
      <c r="A17" s="288" t="s">
        <v>273</v>
      </c>
      <c r="B17" s="288"/>
      <c r="C17" s="288"/>
      <c r="D17" s="288"/>
      <c r="E17" s="288"/>
      <c r="F17" s="288"/>
      <c r="G17" s="288"/>
      <c r="H17" s="94"/>
      <c r="I17" s="94"/>
    </row>
  </sheetData>
  <sheetProtection/>
  <mergeCells count="5">
    <mergeCell ref="A1:H1"/>
    <mergeCell ref="A2:H2"/>
    <mergeCell ref="A3:H3"/>
    <mergeCell ref="A4:H4"/>
    <mergeCell ref="A17:G17"/>
  </mergeCells>
  <printOptions horizontalCentered="1"/>
  <pageMargins left="0.39375" right="0.39375" top="0.39375" bottom="0.39375" header="0.5118055555555556" footer="0.5118055555555556"/>
  <pageSetup fitToHeight="0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22.140625" style="135" customWidth="1"/>
    <col min="2" max="2" width="13.421875" style="135" customWidth="1"/>
    <col min="3" max="3" width="12.7109375" style="135" customWidth="1"/>
    <col min="4" max="4" width="12.28125" style="135" customWidth="1"/>
    <col min="5" max="6" width="13.00390625" style="135" customWidth="1"/>
    <col min="7" max="7" width="12.421875" style="135" customWidth="1"/>
    <col min="8" max="9" width="13.140625" style="135" customWidth="1"/>
    <col min="10" max="10" width="13.421875" style="135" customWidth="1"/>
    <col min="11" max="16384" width="9.140625" style="135" customWidth="1"/>
  </cols>
  <sheetData>
    <row r="1" spans="1:10" s="98" customFormat="1" ht="12.75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s="98" customFormat="1" ht="12.75">
      <c r="A2" s="253" t="s">
        <v>1</v>
      </c>
      <c r="B2" s="253"/>
      <c r="C2" s="253"/>
      <c r="D2" s="253"/>
      <c r="E2" s="253"/>
      <c r="F2" s="253"/>
      <c r="G2" s="253"/>
      <c r="H2" s="253"/>
      <c r="I2" s="253"/>
      <c r="J2" s="253"/>
    </row>
    <row r="3" spans="1:10" s="98" customFormat="1" ht="12.75">
      <c r="A3" s="253">
        <v>2021</v>
      </c>
      <c r="B3" s="253"/>
      <c r="C3" s="253"/>
      <c r="D3" s="253"/>
      <c r="E3" s="253"/>
      <c r="F3" s="253"/>
      <c r="G3" s="253"/>
      <c r="H3" s="253"/>
      <c r="I3" s="253"/>
      <c r="J3" s="253"/>
    </row>
    <row r="4" spans="1:8" s="98" customFormat="1" ht="12.75">
      <c r="A4" s="99"/>
      <c r="B4" s="99"/>
      <c r="C4" s="99"/>
      <c r="D4" s="99"/>
      <c r="E4" s="99"/>
      <c r="F4" s="99"/>
      <c r="G4" s="99"/>
      <c r="H4" s="99"/>
    </row>
    <row r="5" spans="1:10" s="98" customFormat="1" ht="15">
      <c r="A5" s="254" t="s">
        <v>295</v>
      </c>
      <c r="B5" s="254"/>
      <c r="C5" s="254"/>
      <c r="D5" s="254"/>
      <c r="E5" s="254"/>
      <c r="F5" s="254"/>
      <c r="G5" s="254"/>
      <c r="H5" s="254"/>
      <c r="I5" s="254"/>
      <c r="J5" s="254"/>
    </row>
    <row r="6" spans="1:10" ht="15">
      <c r="A6" s="254" t="s">
        <v>296</v>
      </c>
      <c r="B6" s="254"/>
      <c r="C6" s="254"/>
      <c r="D6" s="254"/>
      <c r="E6" s="254"/>
      <c r="F6" s="254"/>
      <c r="G6" s="254"/>
      <c r="H6" s="254"/>
      <c r="I6" s="254"/>
      <c r="J6" s="254"/>
    </row>
    <row r="7" spans="1:10" ht="12.75">
      <c r="A7" s="136"/>
      <c r="B7" s="136"/>
      <c r="C7" s="136"/>
      <c r="D7" s="136"/>
      <c r="E7" s="136"/>
      <c r="F7" s="136"/>
      <c r="G7" s="136"/>
      <c r="H7" s="136"/>
      <c r="I7" s="136"/>
      <c r="J7" s="136"/>
    </row>
    <row r="8" spans="1:10" ht="12.75">
      <c r="A8" s="137" t="s">
        <v>297</v>
      </c>
      <c r="B8" s="297"/>
      <c r="C8" s="297"/>
      <c r="D8" s="297"/>
      <c r="E8" s="297"/>
      <c r="F8" s="297"/>
      <c r="G8" s="297"/>
      <c r="H8" s="298">
        <v>1</v>
      </c>
      <c r="I8" s="299"/>
      <c r="J8" s="299"/>
    </row>
    <row r="9" spans="1:10" ht="18.75" customHeight="1">
      <c r="A9" s="289" t="s">
        <v>49</v>
      </c>
      <c r="B9" s="290">
        <v>2021</v>
      </c>
      <c r="C9" s="291"/>
      <c r="D9" s="292"/>
      <c r="E9" s="290">
        <v>2022</v>
      </c>
      <c r="F9" s="291"/>
      <c r="G9" s="292"/>
      <c r="H9" s="293">
        <v>2023</v>
      </c>
      <c r="I9" s="293"/>
      <c r="J9" s="293"/>
    </row>
    <row r="10" spans="1:10" ht="18.75" customHeight="1">
      <c r="A10" s="289"/>
      <c r="B10" s="138" t="s">
        <v>298</v>
      </c>
      <c r="C10" s="138" t="s">
        <v>299</v>
      </c>
      <c r="D10" s="138" t="s">
        <v>300</v>
      </c>
      <c r="E10" s="138" t="s">
        <v>298</v>
      </c>
      <c r="F10" s="138" t="s">
        <v>299</v>
      </c>
      <c r="G10" s="138" t="s">
        <v>300</v>
      </c>
      <c r="H10" s="138" t="s">
        <v>298</v>
      </c>
      <c r="I10" s="138" t="s">
        <v>299</v>
      </c>
      <c r="J10" s="138" t="s">
        <v>300</v>
      </c>
    </row>
    <row r="11" spans="1:10" s="153" customFormat="1" ht="21.75" customHeight="1">
      <c r="A11" s="152" t="s">
        <v>301</v>
      </c>
      <c r="B11" s="141">
        <v>840000000</v>
      </c>
      <c r="C11" s="141">
        <f>'Anexo III Prev. da Rec. e Despe'!F10</f>
        <v>855000000</v>
      </c>
      <c r="D11" s="141">
        <f>C11-B11</f>
        <v>15000000</v>
      </c>
      <c r="E11" s="141">
        <v>876500000</v>
      </c>
      <c r="F11" s="141">
        <f>'Anexo III Prev. da Rec. e Despe'!G10</f>
        <v>833600000</v>
      </c>
      <c r="G11" s="141">
        <f>F11-E11</f>
        <v>-42900000</v>
      </c>
      <c r="H11" s="141">
        <v>909000000</v>
      </c>
      <c r="I11" s="141">
        <f>'Anexo III Prev. da Rec. e Despe'!H10</f>
        <v>873400000</v>
      </c>
      <c r="J11" s="141">
        <f>I11-H11</f>
        <v>-35600000</v>
      </c>
    </row>
    <row r="12" spans="1:10" s="153" customFormat="1" ht="21.75" customHeight="1">
      <c r="A12" s="152" t="s">
        <v>302</v>
      </c>
      <c r="B12" s="141">
        <v>690579106.34</v>
      </c>
      <c r="C12" s="141">
        <f>'Anexo XI Resultado Primário'!F30</f>
        <v>687175981.5</v>
      </c>
      <c r="D12" s="141">
        <f>C12-B12</f>
        <v>-3403124.8400000334</v>
      </c>
      <c r="E12" s="141">
        <v>724914637.2</v>
      </c>
      <c r="F12" s="141">
        <f>'Anexo XI Resultado Primário'!G30</f>
        <v>661929800</v>
      </c>
      <c r="G12" s="141">
        <f>F12-E12</f>
        <v>-62984837.20000005</v>
      </c>
      <c r="H12" s="141">
        <v>761505450.39</v>
      </c>
      <c r="I12" s="141">
        <f>'Anexo XI Resultado Primário'!H30</f>
        <v>683957870</v>
      </c>
      <c r="J12" s="141">
        <f aca="true" t="shared" si="0" ref="J12:J18">I12-H12</f>
        <v>-77547580.38999999</v>
      </c>
    </row>
    <row r="13" spans="1:10" s="153" customFormat="1" ht="21.75" customHeight="1">
      <c r="A13" s="152" t="s">
        <v>303</v>
      </c>
      <c r="B13" s="141">
        <f>B11</f>
        <v>840000000</v>
      </c>
      <c r="C13" s="141">
        <f>'Anexo III Prev. da Rec. e Despe'!F31</f>
        <v>855000000</v>
      </c>
      <c r="D13" s="141">
        <f>C13-B13</f>
        <v>15000000</v>
      </c>
      <c r="E13" s="141">
        <f>E11</f>
        <v>876500000</v>
      </c>
      <c r="F13" s="141">
        <f>'Anexo III Prev. da Rec. e Despe'!G31</f>
        <v>833600000.0015001</v>
      </c>
      <c r="G13" s="141">
        <f>F13-E13</f>
        <v>-42899999.99849987</v>
      </c>
      <c r="H13" s="141">
        <f>H11</f>
        <v>909000000</v>
      </c>
      <c r="I13" s="141">
        <f>'Anexo III Prev. da Rec. e Despe'!H31</f>
        <v>873399999.9952738</v>
      </c>
      <c r="J13" s="141">
        <f t="shared" si="0"/>
        <v>-35600000.00472617</v>
      </c>
    </row>
    <row r="14" spans="1:10" s="153" customFormat="1" ht="21.75" customHeight="1">
      <c r="A14" s="152" t="s">
        <v>304</v>
      </c>
      <c r="B14" s="141">
        <v>697071500</v>
      </c>
      <c r="C14" s="141">
        <f>'Anexo XI Resultado Primário'!F47</f>
        <v>690664500</v>
      </c>
      <c r="D14" s="141">
        <f>C14-B14</f>
        <v>-6407000</v>
      </c>
      <c r="E14" s="141">
        <v>715959600</v>
      </c>
      <c r="F14" s="141">
        <f>'Anexo XI Resultado Primário'!G47</f>
        <v>632704999.9974</v>
      </c>
      <c r="G14" s="141">
        <f>F14-E14</f>
        <v>-83254600.00259995</v>
      </c>
      <c r="H14" s="141">
        <v>735343500</v>
      </c>
      <c r="I14" s="141">
        <f>'Anexo XI Resultado Primário'!H47</f>
        <v>652233300.0034089</v>
      </c>
      <c r="J14" s="141">
        <f t="shared" si="0"/>
        <v>-83110199.99659109</v>
      </c>
    </row>
    <row r="15" spans="1:10" s="153" customFormat="1" ht="21.75" customHeight="1">
      <c r="A15" s="152" t="s">
        <v>305</v>
      </c>
      <c r="B15" s="141">
        <f>B12-B14</f>
        <v>-6492393.659999967</v>
      </c>
      <c r="C15" s="141">
        <f>C12-C14</f>
        <v>-3488518.5</v>
      </c>
      <c r="D15" s="141">
        <f>B15-C15</f>
        <v>-3003875.1599999666</v>
      </c>
      <c r="E15" s="141">
        <f>E12-E14</f>
        <v>8955037.200000048</v>
      </c>
      <c r="F15" s="141">
        <f>F12-F14</f>
        <v>29224800.002599955</v>
      </c>
      <c r="G15" s="141">
        <f>F15-E15</f>
        <v>20269762.802599907</v>
      </c>
      <c r="H15" s="141">
        <f>H12-H14</f>
        <v>26161950.389999986</v>
      </c>
      <c r="I15" s="141">
        <f>I12-I14</f>
        <v>31724569.99659109</v>
      </c>
      <c r="J15" s="141">
        <f t="shared" si="0"/>
        <v>5562619.606591105</v>
      </c>
    </row>
    <row r="16" spans="1:10" s="153" customFormat="1" ht="21.75" customHeight="1">
      <c r="A16" s="152" t="s">
        <v>306</v>
      </c>
      <c r="B16" s="141">
        <v>9620000</v>
      </c>
      <c r="C16" s="141">
        <f>'Anexo XII Resultado Nominal'!F21</f>
        <v>-11990641.485000014</v>
      </c>
      <c r="D16" s="141">
        <f>B16-C16</f>
        <v>21610641.485000014</v>
      </c>
      <c r="E16" s="141">
        <v>21300000</v>
      </c>
      <c r="F16" s="141">
        <f>'Anexo XII Resultado Nominal'!G21</f>
        <v>-39572767.8725</v>
      </c>
      <c r="G16" s="141">
        <f>E16-F16</f>
        <v>60872767.8725</v>
      </c>
      <c r="H16" s="141">
        <v>27200000</v>
      </c>
      <c r="I16" s="141">
        <f>'Anexo XII Resultado Nominal'!H21</f>
        <v>-2659616.0637499914</v>
      </c>
      <c r="J16" s="141">
        <f t="shared" si="0"/>
        <v>-29859616.06374999</v>
      </c>
    </row>
    <row r="17" spans="1:10" s="153" customFormat="1" ht="21.75" customHeight="1">
      <c r="A17" s="152" t="s">
        <v>307</v>
      </c>
      <c r="B17" s="141">
        <v>108300000</v>
      </c>
      <c r="C17" s="141">
        <f>'Anexo XII Resultado Nominal'!F9</f>
        <v>108242508.13</v>
      </c>
      <c r="D17" s="141">
        <f>B17-C17</f>
        <v>57491.87000000477</v>
      </c>
      <c r="E17" s="141">
        <v>87000000</v>
      </c>
      <c r="F17" s="141">
        <f>'Anexo XII Resultado Nominal'!G9</f>
        <v>68942508.13</v>
      </c>
      <c r="G17" s="141">
        <f>E17-F17</f>
        <v>18057491.870000005</v>
      </c>
      <c r="H17" s="141">
        <v>59800000</v>
      </c>
      <c r="I17" s="141">
        <f>'Anexo XII Resultado Nominal'!H9</f>
        <v>66146508.13</v>
      </c>
      <c r="J17" s="141">
        <f t="shared" si="0"/>
        <v>6346508.130000003</v>
      </c>
    </row>
    <row r="18" spans="1:10" s="153" customFormat="1" ht="21.75" customHeight="1">
      <c r="A18" s="152" t="s">
        <v>308</v>
      </c>
      <c r="B18" s="141">
        <v>8800000</v>
      </c>
      <c r="C18" s="141">
        <f>'Anexo XII Resultado Nominal'!F18</f>
        <v>-18998099.485</v>
      </c>
      <c r="D18" s="141">
        <f>B18-C18</f>
        <v>27798099.485</v>
      </c>
      <c r="E18" s="141">
        <v>-12500000</v>
      </c>
      <c r="F18" s="141">
        <f>'Anexo XII Resultado Nominal'!G18</f>
        <v>-58570867.3575</v>
      </c>
      <c r="G18" s="141">
        <f>E18-F18</f>
        <v>46070867.3575</v>
      </c>
      <c r="H18" s="141">
        <v>-39700000</v>
      </c>
      <c r="I18" s="141">
        <f>'Anexo XII Resultado Nominal'!H18</f>
        <v>-61230483.42124999</v>
      </c>
      <c r="J18" s="141">
        <f t="shared" si="0"/>
        <v>-21530483.421249993</v>
      </c>
    </row>
    <row r="19" spans="1:10" ht="12.75" customHeight="1">
      <c r="A19" s="294" t="s">
        <v>309</v>
      </c>
      <c r="B19" s="295"/>
      <c r="C19" s="295"/>
      <c r="D19" s="295"/>
      <c r="E19" s="295"/>
      <c r="F19" s="295"/>
      <c r="G19" s="295"/>
      <c r="H19" s="295"/>
      <c r="I19" s="295"/>
      <c r="J19" s="295"/>
    </row>
    <row r="20" spans="1:10" ht="15.75" customHeight="1">
      <c r="A20" s="296"/>
      <c r="B20" s="296"/>
      <c r="C20" s="296"/>
      <c r="D20" s="296"/>
      <c r="E20" s="296"/>
      <c r="F20" s="296"/>
      <c r="G20" s="296"/>
      <c r="H20" s="296"/>
      <c r="I20" s="296"/>
      <c r="J20" s="296"/>
    </row>
  </sheetData>
  <sheetProtection/>
  <mergeCells count="14">
    <mergeCell ref="A1:J1"/>
    <mergeCell ref="A2:J2"/>
    <mergeCell ref="A3:J3"/>
    <mergeCell ref="A5:J5"/>
    <mergeCell ref="A6:J6"/>
    <mergeCell ref="B8:D8"/>
    <mergeCell ref="E8:G8"/>
    <mergeCell ref="H8:J8"/>
    <mergeCell ref="A9:A10"/>
    <mergeCell ref="B9:D9"/>
    <mergeCell ref="E9:G9"/>
    <mergeCell ref="H9:J9"/>
    <mergeCell ref="A19:J19"/>
    <mergeCell ref="A20:J20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>
    <oddHeader>&amp;C&amp;"-,Regular"&amp;12ANEXO XIV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D19" sqref="D19"/>
    </sheetView>
  </sheetViews>
  <sheetFormatPr defaultColWidth="11.57421875" defaultRowHeight="12.75"/>
  <cols>
    <col min="1" max="1" width="51.00390625" style="101" customWidth="1"/>
    <col min="2" max="2" width="11.7109375" style="101" customWidth="1"/>
    <col min="3" max="3" width="50.28125" style="101" customWidth="1"/>
    <col min="4" max="4" width="16.421875" style="101" customWidth="1"/>
    <col min="5" max="16384" width="11.57421875" style="101" customWidth="1"/>
  </cols>
  <sheetData>
    <row r="1" spans="1:10" s="98" customFormat="1" ht="12.75">
      <c r="A1" s="253" t="s">
        <v>0</v>
      </c>
      <c r="B1" s="253"/>
      <c r="C1" s="253"/>
      <c r="D1" s="253"/>
      <c r="E1" s="97"/>
      <c r="F1" s="97"/>
      <c r="G1" s="97"/>
      <c r="H1" s="97"/>
      <c r="I1" s="97"/>
      <c r="J1" s="97"/>
    </row>
    <row r="2" spans="1:10" s="98" customFormat="1" ht="12.75">
      <c r="A2" s="253" t="s">
        <v>1</v>
      </c>
      <c r="B2" s="253"/>
      <c r="C2" s="253"/>
      <c r="D2" s="253"/>
      <c r="E2" s="97"/>
      <c r="F2" s="97"/>
      <c r="G2" s="97"/>
      <c r="H2" s="97"/>
      <c r="I2" s="97"/>
      <c r="J2" s="97"/>
    </row>
    <row r="3" spans="1:10" s="98" customFormat="1" ht="12.75">
      <c r="A3" s="253">
        <v>2021</v>
      </c>
      <c r="B3" s="253"/>
      <c r="C3" s="253"/>
      <c r="D3" s="253"/>
      <c r="E3" s="97"/>
      <c r="F3" s="97"/>
      <c r="G3" s="97"/>
      <c r="H3" s="97"/>
      <c r="I3" s="97"/>
      <c r="J3" s="97"/>
    </row>
    <row r="4" spans="1:8" s="98" customFormat="1" ht="12.75">
      <c r="A4" s="172"/>
      <c r="B4" s="172"/>
      <c r="C4" s="172"/>
      <c r="D4" s="172"/>
      <c r="E4" s="172"/>
      <c r="F4" s="172"/>
      <c r="G4" s="172"/>
      <c r="H4" s="172"/>
    </row>
    <row r="5" spans="1:8" s="98" customFormat="1" ht="25.5" customHeight="1">
      <c r="A5" s="300" t="s">
        <v>327</v>
      </c>
      <c r="B5" s="300"/>
      <c r="C5" s="300"/>
      <c r="D5" s="300"/>
      <c r="E5" s="172"/>
      <c r="F5" s="172"/>
      <c r="G5" s="172"/>
      <c r="H5" s="172"/>
    </row>
    <row r="6" spans="1:8" s="98" customFormat="1" ht="12.75">
      <c r="A6" s="172"/>
      <c r="B6" s="172"/>
      <c r="C6" s="172"/>
      <c r="D6" s="172"/>
      <c r="E6" s="172"/>
      <c r="F6" s="172"/>
      <c r="G6" s="172"/>
      <c r="H6" s="172"/>
    </row>
    <row r="7" spans="1:4" ht="12.75">
      <c r="A7" s="173" t="s">
        <v>337</v>
      </c>
      <c r="D7" s="174">
        <v>1</v>
      </c>
    </row>
    <row r="8" spans="1:4" ht="30.75" customHeight="1">
      <c r="A8" s="281" t="s">
        <v>316</v>
      </c>
      <c r="B8" s="281"/>
      <c r="C8" s="281" t="s">
        <v>317</v>
      </c>
      <c r="D8" s="281"/>
    </row>
    <row r="9" spans="1:4" ht="18" customHeight="1">
      <c r="A9" s="175" t="s">
        <v>31</v>
      </c>
      <c r="B9" s="175" t="s">
        <v>32</v>
      </c>
      <c r="C9" s="175" t="s">
        <v>31</v>
      </c>
      <c r="D9" s="175" t="s">
        <v>32</v>
      </c>
    </row>
    <row r="10" spans="1:4" s="178" customFormat="1" ht="39.75" customHeight="1">
      <c r="A10" s="176" t="s">
        <v>318</v>
      </c>
      <c r="B10" s="169">
        <v>1500000</v>
      </c>
      <c r="C10" s="177" t="s">
        <v>319</v>
      </c>
      <c r="D10" s="169">
        <f>B10</f>
        <v>1500000</v>
      </c>
    </row>
    <row r="11" spans="1:4" s="91" customFormat="1" ht="18" customHeight="1">
      <c r="A11" s="166" t="s">
        <v>320</v>
      </c>
      <c r="B11" s="166">
        <f>SUM(B10:B10)</f>
        <v>1500000</v>
      </c>
      <c r="C11" s="166" t="s">
        <v>320</v>
      </c>
      <c r="D11" s="166">
        <f>SUM(D10)</f>
        <v>1500000</v>
      </c>
    </row>
    <row r="12" spans="1:4" s="91" customFormat="1" ht="18" customHeight="1">
      <c r="A12" s="179"/>
      <c r="B12" s="179"/>
      <c r="C12" s="179"/>
      <c r="D12" s="179"/>
    </row>
    <row r="13" spans="1:4" ht="33.75" customHeight="1">
      <c r="A13" s="281" t="s">
        <v>321</v>
      </c>
      <c r="B13" s="281"/>
      <c r="C13" s="281" t="s">
        <v>317</v>
      </c>
      <c r="D13" s="281"/>
    </row>
    <row r="14" spans="1:4" ht="18" customHeight="1">
      <c r="A14" s="175" t="s">
        <v>31</v>
      </c>
      <c r="B14" s="175" t="s">
        <v>32</v>
      </c>
      <c r="C14" s="175" t="s">
        <v>31</v>
      </c>
      <c r="D14" s="175" t="s">
        <v>32</v>
      </c>
    </row>
    <row r="15" spans="1:4" ht="28.5" customHeight="1">
      <c r="A15" s="180" t="s">
        <v>322</v>
      </c>
      <c r="B15" s="169">
        <v>1706430.78</v>
      </c>
      <c r="C15" s="187" t="s">
        <v>338</v>
      </c>
      <c r="D15" s="169">
        <f>B15</f>
        <v>1706430.78</v>
      </c>
    </row>
    <row r="16" spans="1:4" s="91" customFormat="1" ht="18" customHeight="1">
      <c r="A16" s="166" t="s">
        <v>320</v>
      </c>
      <c r="B16" s="166">
        <f>SUM(B15:B15)</f>
        <v>1706430.78</v>
      </c>
      <c r="C16" s="166" t="s">
        <v>320</v>
      </c>
      <c r="D16" s="166">
        <f>SUM(D15)</f>
        <v>1706430.78</v>
      </c>
    </row>
    <row r="17" spans="1:4" ht="18" customHeight="1">
      <c r="A17" s="211"/>
      <c r="B17" s="212"/>
      <c r="C17" s="213"/>
      <c r="D17" s="212"/>
    </row>
    <row r="18" spans="1:4" s="91" customFormat="1" ht="18" customHeight="1">
      <c r="A18" s="170" t="s">
        <v>188</v>
      </c>
      <c r="B18" s="170">
        <f>B11+B15</f>
        <v>3206430.7800000003</v>
      </c>
      <c r="C18" s="170" t="s">
        <v>188</v>
      </c>
      <c r="D18" s="170">
        <f>D11+D15</f>
        <v>3206430.7800000003</v>
      </c>
    </row>
    <row r="19" spans="1:4" s="91" customFormat="1" ht="18" customHeight="1">
      <c r="A19" s="179"/>
      <c r="B19" s="179"/>
      <c r="C19" s="179"/>
      <c r="D19" s="179"/>
    </row>
    <row r="20" spans="1:4" s="91" customFormat="1" ht="18" customHeight="1">
      <c r="A20" s="179"/>
      <c r="B20" s="179"/>
      <c r="C20" s="179"/>
      <c r="D20" s="179"/>
    </row>
    <row r="21" spans="1:4" ht="12.75">
      <c r="A21" s="288" t="s">
        <v>323</v>
      </c>
      <c r="B21" s="288"/>
      <c r="C21" s="288"/>
      <c r="D21" s="288"/>
    </row>
    <row r="22" spans="1:4" ht="12.75">
      <c r="A22" s="173"/>
      <c r="B22" s="173"/>
      <c r="C22" s="173"/>
      <c r="D22" s="179"/>
    </row>
    <row r="23" ht="12.75">
      <c r="A23" s="173" t="s">
        <v>324</v>
      </c>
    </row>
    <row r="24" spans="1:4" ht="12.75">
      <c r="A24" s="288" t="s">
        <v>325</v>
      </c>
      <c r="B24" s="288"/>
      <c r="C24" s="288"/>
      <c r="D24" s="288"/>
    </row>
    <row r="25" spans="1:4" ht="12.75">
      <c r="A25" s="288" t="s">
        <v>326</v>
      </c>
      <c r="B25" s="288"/>
      <c r="C25" s="288"/>
      <c r="D25" s="288"/>
    </row>
  </sheetData>
  <sheetProtection/>
  <mergeCells count="11">
    <mergeCell ref="C8:D8"/>
    <mergeCell ref="C13:D13"/>
    <mergeCell ref="A21:D21"/>
    <mergeCell ref="A24:D24"/>
    <mergeCell ref="A25:D25"/>
    <mergeCell ref="A13:B13"/>
    <mergeCell ref="A1:D1"/>
    <mergeCell ref="A2:D2"/>
    <mergeCell ref="A3:D3"/>
    <mergeCell ref="A5:D5"/>
    <mergeCell ref="A8:B8"/>
  </mergeCells>
  <printOptions horizontalCentered="1"/>
  <pageMargins left="0.3937007874015748" right="0.3937007874015748" top="0.72" bottom="0.3937007874015748" header="0.39" footer="0.5118110236220472"/>
  <pageSetup firstPageNumber="1" useFirstPageNumber="1" horizontalDpi="300" verticalDpi="300" orientation="landscape" paperSize="9" r:id="rId1"/>
  <headerFooter alignWithMargins="0">
    <oddHeader>&amp;CANEXO XV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6" sqref="E46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63.00390625" style="0" customWidth="1"/>
    <col min="2" max="4" width="16.140625" style="0" customWidth="1"/>
  </cols>
  <sheetData>
    <row r="1" spans="1:8" s="2" customFormat="1" ht="12.75">
      <c r="A1" s="243" t="s">
        <v>28</v>
      </c>
      <c r="B1" s="243"/>
      <c r="C1" s="243"/>
      <c r="D1" s="243"/>
      <c r="E1" s="25"/>
      <c r="F1" s="25"/>
      <c r="G1" s="25"/>
      <c r="H1" s="25"/>
    </row>
    <row r="2" spans="1:8" s="2" customFormat="1" ht="12.75">
      <c r="A2" s="243" t="s">
        <v>29</v>
      </c>
      <c r="B2" s="243"/>
      <c r="C2" s="243"/>
      <c r="D2" s="243"/>
      <c r="E2" s="25"/>
      <c r="F2" s="25"/>
      <c r="G2" s="25"/>
      <c r="H2" s="25"/>
    </row>
    <row r="3" spans="1:8" s="2" customFormat="1" ht="12.75">
      <c r="A3" s="243">
        <v>2021</v>
      </c>
      <c r="B3" s="243"/>
      <c r="C3" s="243"/>
      <c r="D3" s="243"/>
      <c r="E3" s="25"/>
      <c r="F3" s="25"/>
      <c r="G3" s="25"/>
      <c r="H3" s="25"/>
    </row>
    <row r="4" spans="1:8" s="2" customFormat="1" ht="12.75">
      <c r="A4" s="1"/>
      <c r="B4" s="1"/>
      <c r="C4" s="25"/>
      <c r="D4" s="25"/>
      <c r="E4" s="25"/>
      <c r="F4" s="25"/>
      <c r="G4" s="25"/>
      <c r="H4" s="25"/>
    </row>
    <row r="5" spans="1:4" s="28" customFormat="1" ht="12.75">
      <c r="A5" s="247" t="s">
        <v>30</v>
      </c>
      <c r="B5" s="247"/>
      <c r="C5" s="247"/>
      <c r="D5" s="247"/>
    </row>
    <row r="6" spans="1:3" s="28" customFormat="1" ht="12">
      <c r="A6" s="27"/>
      <c r="B6" s="27"/>
      <c r="C6" s="27"/>
    </row>
    <row r="7" spans="1:4" s="28" customFormat="1" ht="12.75">
      <c r="A7" s="7" t="s">
        <v>315</v>
      </c>
      <c r="D7" s="8">
        <v>1</v>
      </c>
    </row>
    <row r="8" spans="1:4" s="28" customFormat="1" ht="18" customHeight="1">
      <c r="A8" s="22" t="s">
        <v>31</v>
      </c>
      <c r="B8" s="185">
        <v>2021</v>
      </c>
      <c r="C8" s="185">
        <v>2022</v>
      </c>
      <c r="D8" s="185">
        <v>2023</v>
      </c>
    </row>
    <row r="9" spans="1:4" s="28" customFormat="1" ht="18" customHeight="1">
      <c r="A9" s="29" t="s">
        <v>33</v>
      </c>
      <c r="B9" s="30">
        <f>'Anexo III Prev. da Rec. e Despe'!F11</f>
        <v>727990695.73</v>
      </c>
      <c r="C9" s="30">
        <f>'Anexo III Prev. da Rec. e Despe'!G11</f>
        <v>759441000</v>
      </c>
      <c r="D9" s="30">
        <f>'Anexo III Prev. da Rec. e Despe'!H11</f>
        <v>785924900</v>
      </c>
    </row>
    <row r="10" spans="1:4" s="28" customFormat="1" ht="18" customHeight="1">
      <c r="A10" s="29" t="s">
        <v>34</v>
      </c>
      <c r="B10" s="30">
        <f>SUM(B11:B20)</f>
        <v>164243000</v>
      </c>
      <c r="C10" s="30">
        <f>SUM(C11:C20)</f>
        <v>173981200</v>
      </c>
      <c r="D10" s="30">
        <f>SUM(D11:D20)</f>
        <v>182350300</v>
      </c>
    </row>
    <row r="11" spans="1:4" s="28" customFormat="1" ht="18" customHeight="1">
      <c r="A11" s="31" t="s">
        <v>35</v>
      </c>
      <c r="B11" s="32">
        <v>26130000</v>
      </c>
      <c r="C11" s="32">
        <v>27100000</v>
      </c>
      <c r="D11" s="32">
        <v>27980000</v>
      </c>
    </row>
    <row r="12" spans="1:4" s="28" customFormat="1" ht="18" customHeight="1">
      <c r="A12" s="31" t="s">
        <v>36</v>
      </c>
      <c r="B12" s="32" t="s">
        <v>37</v>
      </c>
      <c r="C12" s="32"/>
      <c r="D12" s="32"/>
    </row>
    <row r="13" spans="1:4" s="28" customFormat="1" ht="18" customHeight="1">
      <c r="A13" s="31" t="s">
        <v>38</v>
      </c>
      <c r="B13" s="32"/>
      <c r="C13" s="32"/>
      <c r="D13" s="32"/>
    </row>
    <row r="14" spans="1:4" s="28" customFormat="1" ht="18" customHeight="1">
      <c r="A14" s="31" t="s">
        <v>39</v>
      </c>
      <c r="B14" s="32">
        <v>45494000</v>
      </c>
      <c r="C14" s="32">
        <v>47313200</v>
      </c>
      <c r="D14" s="32">
        <v>50131300</v>
      </c>
    </row>
    <row r="15" spans="1:4" s="28" customFormat="1" ht="18" customHeight="1">
      <c r="A15" s="31" t="s">
        <v>40</v>
      </c>
      <c r="B15" s="32">
        <v>5800000</v>
      </c>
      <c r="C15" s="32">
        <v>6000000</v>
      </c>
      <c r="D15" s="32">
        <v>6434000</v>
      </c>
    </row>
    <row r="16" spans="1:4" s="28" customFormat="1" ht="18" customHeight="1">
      <c r="A16" s="31" t="s">
        <v>41</v>
      </c>
      <c r="B16" s="32">
        <v>27191000</v>
      </c>
      <c r="C16" s="32">
        <v>30937000</v>
      </c>
      <c r="D16" s="32">
        <v>32474000</v>
      </c>
    </row>
    <row r="17" spans="1:4" s="33" customFormat="1" ht="18" customHeight="1">
      <c r="A17" s="31" t="s">
        <v>333</v>
      </c>
      <c r="B17" s="32">
        <v>114000</v>
      </c>
      <c r="C17" s="32">
        <v>118000</v>
      </c>
      <c r="D17" s="32">
        <v>122000</v>
      </c>
    </row>
    <row r="18" spans="1:4" s="28" customFormat="1" ht="18" customHeight="1">
      <c r="A18" s="31" t="s">
        <v>334</v>
      </c>
      <c r="B18" s="32">
        <v>939000</v>
      </c>
      <c r="C18" s="32">
        <v>1792000</v>
      </c>
      <c r="D18" s="32">
        <v>2522000</v>
      </c>
    </row>
    <row r="19" spans="1:4" s="28" customFormat="1" ht="18" customHeight="1">
      <c r="A19" s="31" t="s">
        <v>42</v>
      </c>
      <c r="B19" s="32"/>
      <c r="C19" s="32"/>
      <c r="D19" s="32"/>
    </row>
    <row r="20" spans="1:4" s="28" customFormat="1" ht="18" customHeight="1">
      <c r="A20" s="31" t="s">
        <v>43</v>
      </c>
      <c r="B20" s="32">
        <f>13170800+45404200</f>
        <v>58575000</v>
      </c>
      <c r="C20" s="32">
        <f>13615000+47106000</f>
        <v>60721000</v>
      </c>
      <c r="D20" s="32">
        <f>14056000+48631000</f>
        <v>62687000</v>
      </c>
    </row>
    <row r="21" spans="1:4" s="28" customFormat="1" ht="18" customHeight="1">
      <c r="A21" s="29" t="s">
        <v>44</v>
      </c>
      <c r="B21" s="30">
        <f>SUM(B9-B10)</f>
        <v>563747695.73</v>
      </c>
      <c r="C21" s="30">
        <f>SUM(C9-C10)</f>
        <v>585459800</v>
      </c>
      <c r="D21" s="30">
        <f>SUM(D9-D10)</f>
        <v>603574600</v>
      </c>
    </row>
    <row r="22" ht="12.75">
      <c r="B22" s="186"/>
    </row>
  </sheetData>
  <sheetProtection/>
  <mergeCells count="4">
    <mergeCell ref="A5:D5"/>
    <mergeCell ref="A3:D3"/>
    <mergeCell ref="A2:D2"/>
    <mergeCell ref="A1:D1"/>
  </mergeCells>
  <printOptions horizontalCentered="1"/>
  <pageMargins left="0.5118110236220472" right="0.5118110236220472" top="0.5905511811023623" bottom="0.7874015748031497" header="0.31496062992125984" footer="0.31496062992125984"/>
  <pageSetup fitToHeight="0" horizontalDpi="600" verticalDpi="600" orientation="landscape" paperSize="9" r:id="rId1"/>
  <headerFooter alignWithMargins="0">
    <oddHeader>&amp;C&amp;"-,Regular"&amp;12ANEXO IV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F32" sqref="F32"/>
    </sheetView>
  </sheetViews>
  <sheetFormatPr defaultColWidth="11.57421875" defaultRowHeight="12.75"/>
  <cols>
    <col min="1" max="1" width="32.7109375" style="2" customWidth="1"/>
    <col min="2" max="3" width="16.7109375" style="2" customWidth="1"/>
    <col min="4" max="4" width="32.7109375" style="2" customWidth="1"/>
    <col min="5" max="6" width="17.28125" style="2" customWidth="1"/>
    <col min="7" max="16384" width="11.57421875" style="2" customWidth="1"/>
  </cols>
  <sheetData>
    <row r="1" spans="1:8" ht="12.75">
      <c r="A1" s="243" t="s">
        <v>45</v>
      </c>
      <c r="B1" s="243"/>
      <c r="C1" s="243"/>
      <c r="D1" s="243"/>
      <c r="E1" s="243"/>
      <c r="F1" s="243"/>
      <c r="G1" s="1"/>
      <c r="H1" s="1"/>
    </row>
    <row r="2" spans="1:8" ht="12.75">
      <c r="A2" s="243" t="s">
        <v>46</v>
      </c>
      <c r="B2" s="243"/>
      <c r="C2" s="243"/>
      <c r="D2" s="243"/>
      <c r="E2" s="243"/>
      <c r="F2" s="243"/>
      <c r="G2" s="1"/>
      <c r="H2" s="1"/>
    </row>
    <row r="3" spans="1:8" ht="12.75">
      <c r="A3" s="243">
        <v>2021</v>
      </c>
      <c r="B3" s="243"/>
      <c r="C3" s="243"/>
      <c r="D3" s="243"/>
      <c r="E3" s="243"/>
      <c r="F3" s="243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6" ht="15">
      <c r="A5" s="245" t="s">
        <v>47</v>
      </c>
      <c r="B5" s="245"/>
      <c r="C5" s="245"/>
      <c r="D5" s="245"/>
      <c r="E5" s="245"/>
      <c r="F5" s="245"/>
    </row>
    <row r="6" spans="1:6" ht="15">
      <c r="A6" s="4"/>
      <c r="B6" s="4"/>
      <c r="C6" s="4"/>
      <c r="D6" s="4"/>
      <c r="E6" s="4"/>
      <c r="F6" s="4"/>
    </row>
    <row r="7" spans="1:6" ht="12.75">
      <c r="A7" s="34" t="s">
        <v>48</v>
      </c>
      <c r="B7" s="34"/>
      <c r="C7" s="34"/>
      <c r="D7" s="34"/>
      <c r="E7" s="34"/>
      <c r="F7" s="8">
        <v>1</v>
      </c>
    </row>
    <row r="8" spans="1:6" s="38" customFormat="1" ht="21.75" customHeight="1">
      <c r="A8" s="35" t="s">
        <v>49</v>
      </c>
      <c r="B8" s="36" t="s">
        <v>50</v>
      </c>
      <c r="C8" s="37">
        <v>0.25</v>
      </c>
      <c r="D8" s="36" t="s">
        <v>51</v>
      </c>
      <c r="E8" s="36" t="s">
        <v>52</v>
      </c>
      <c r="F8" s="36" t="s">
        <v>53</v>
      </c>
    </row>
    <row r="9" spans="1:6" ht="12.75">
      <c r="A9" s="39" t="s">
        <v>54</v>
      </c>
      <c r="B9" s="40">
        <v>57730000</v>
      </c>
      <c r="C9" s="40">
        <f aca="true" t="shared" si="0" ref="C9:C18">B9*0.25</f>
        <v>14432500</v>
      </c>
      <c r="D9" s="39" t="s">
        <v>55</v>
      </c>
      <c r="E9" s="40">
        <v>28665350</v>
      </c>
      <c r="F9" s="40">
        <v>76187000</v>
      </c>
    </row>
    <row r="10" spans="1:6" ht="12.75">
      <c r="A10" s="39" t="s">
        <v>56</v>
      </c>
      <c r="B10" s="40">
        <v>21375000</v>
      </c>
      <c r="C10" s="40">
        <f t="shared" si="0"/>
        <v>5343750</v>
      </c>
      <c r="D10" s="39" t="s">
        <v>57</v>
      </c>
      <c r="E10" s="40"/>
      <c r="F10" s="41"/>
    </row>
    <row r="11" spans="1:6" ht="12.75">
      <c r="A11" s="39" t="s">
        <v>276</v>
      </c>
      <c r="B11" s="40">
        <v>82594000</v>
      </c>
      <c r="C11" s="40">
        <f t="shared" si="0"/>
        <v>20648500</v>
      </c>
      <c r="D11" s="39" t="s">
        <v>58</v>
      </c>
      <c r="E11" s="40">
        <v>140000</v>
      </c>
      <c r="F11" s="41"/>
    </row>
    <row r="12" spans="1:6" ht="12.75">
      <c r="A12" s="39" t="s">
        <v>59</v>
      </c>
      <c r="B12" s="40">
        <v>45575000</v>
      </c>
      <c r="C12" s="40">
        <f t="shared" si="0"/>
        <v>11393750</v>
      </c>
      <c r="D12" s="39" t="s">
        <v>60</v>
      </c>
      <c r="E12" s="40"/>
      <c r="F12" s="41"/>
    </row>
    <row r="13" spans="1:6" ht="12.75">
      <c r="A13" s="39" t="s">
        <v>63</v>
      </c>
      <c r="B13" s="40">
        <v>77510000</v>
      </c>
      <c r="C13" s="40">
        <f t="shared" si="0"/>
        <v>19377500</v>
      </c>
      <c r="D13" s="39" t="s">
        <v>61</v>
      </c>
      <c r="E13" s="40">
        <v>18480000</v>
      </c>
      <c r="F13" s="40">
        <v>32374000</v>
      </c>
    </row>
    <row r="14" spans="1:6" ht="12.75">
      <c r="A14" s="39" t="s">
        <v>65</v>
      </c>
      <c r="B14" s="40">
        <v>1037000</v>
      </c>
      <c r="C14" s="40">
        <f t="shared" si="0"/>
        <v>259250</v>
      </c>
      <c r="D14" s="39" t="s">
        <v>62</v>
      </c>
      <c r="E14" s="40">
        <v>2507000</v>
      </c>
      <c r="F14" s="41"/>
    </row>
    <row r="15" spans="1:6" ht="12.75">
      <c r="A15" s="39" t="s">
        <v>66</v>
      </c>
      <c r="B15" s="40">
        <v>0</v>
      </c>
      <c r="C15" s="40">
        <f t="shared" si="0"/>
        <v>0</v>
      </c>
      <c r="D15" s="39" t="s">
        <v>64</v>
      </c>
      <c r="E15" s="40"/>
      <c r="F15" s="40">
        <v>600000</v>
      </c>
    </row>
    <row r="16" spans="1:6" ht="12.75">
      <c r="A16" s="39" t="s">
        <v>68</v>
      </c>
      <c r="B16" s="40">
        <v>108100000</v>
      </c>
      <c r="C16" s="40">
        <f t="shared" si="0"/>
        <v>27025000</v>
      </c>
      <c r="D16" s="39"/>
      <c r="E16" s="40"/>
      <c r="F16" s="41"/>
    </row>
    <row r="17" spans="1:6" ht="12.75">
      <c r="A17" s="39" t="s">
        <v>69</v>
      </c>
      <c r="B17" s="40">
        <v>44961000</v>
      </c>
      <c r="C17" s="40">
        <f t="shared" si="0"/>
        <v>11240250</v>
      </c>
      <c r="D17" s="39" t="s">
        <v>67</v>
      </c>
      <c r="E17" s="40">
        <v>11726000</v>
      </c>
      <c r="F17" s="40">
        <v>839000</v>
      </c>
    </row>
    <row r="18" spans="1:6" ht="12.75">
      <c r="A18" s="39" t="s">
        <v>70</v>
      </c>
      <c r="B18" s="40">
        <v>1587000</v>
      </c>
      <c r="C18" s="40">
        <f t="shared" si="0"/>
        <v>396750</v>
      </c>
      <c r="D18" s="39"/>
      <c r="E18" s="40"/>
      <c r="F18" s="41"/>
    </row>
    <row r="19" spans="1:6" ht="12.75">
      <c r="A19" s="42" t="s">
        <v>71</v>
      </c>
      <c r="B19" s="43">
        <f>SUM(B9:B18)</f>
        <v>440469000</v>
      </c>
      <c r="C19" s="43">
        <f>SUM(C9:C18)</f>
        <v>110117250</v>
      </c>
      <c r="D19" s="39"/>
      <c r="E19" s="41"/>
      <c r="F19" s="41"/>
    </row>
    <row r="20" spans="1:6" ht="12.75">
      <c r="A20" s="39" t="s">
        <v>72</v>
      </c>
      <c r="B20" s="40"/>
      <c r="C20" s="40">
        <v>109982000</v>
      </c>
      <c r="D20" s="39"/>
      <c r="E20" s="41"/>
      <c r="F20" s="41"/>
    </row>
    <row r="21" spans="1:6" ht="12.75">
      <c r="A21" s="39" t="s">
        <v>73</v>
      </c>
      <c r="B21" s="40"/>
      <c r="C21" s="40">
        <v>-45404200</v>
      </c>
      <c r="D21" s="39"/>
      <c r="E21" s="41"/>
      <c r="F21" s="41"/>
    </row>
    <row r="22" spans="1:6" ht="12.75">
      <c r="A22" s="39" t="s">
        <v>311</v>
      </c>
      <c r="B22" s="40">
        <v>-12846800</v>
      </c>
      <c r="C22" s="40">
        <f>B22*0.25</f>
        <v>-3211700</v>
      </c>
      <c r="D22" s="39"/>
      <c r="E22" s="41"/>
      <c r="F22" s="41"/>
    </row>
    <row r="23" spans="1:6" ht="12.75">
      <c r="A23" s="39" t="s">
        <v>74</v>
      </c>
      <c r="B23" s="40">
        <v>35000</v>
      </c>
      <c r="C23" s="157"/>
      <c r="D23" s="39"/>
      <c r="E23" s="41"/>
      <c r="F23" s="41"/>
    </row>
    <row r="24" spans="1:6" ht="12.75">
      <c r="A24" s="42" t="s">
        <v>75</v>
      </c>
      <c r="B24" s="157"/>
      <c r="C24" s="43">
        <f>C19+C20+C21+B23+C22</f>
        <v>171518350</v>
      </c>
      <c r="D24" s="44" t="s">
        <v>76</v>
      </c>
      <c r="E24" s="45">
        <f>SUM(E9:E17)</f>
        <v>61518350</v>
      </c>
      <c r="F24" s="45">
        <f>SUM(F9:F17)</f>
        <v>110000000</v>
      </c>
    </row>
    <row r="25" spans="4:6" ht="12.75">
      <c r="D25" s="42" t="s">
        <v>77</v>
      </c>
      <c r="E25" s="248">
        <f>SUM(E24+F24)</f>
        <v>171518350</v>
      </c>
      <c r="F25" s="248"/>
    </row>
    <row r="27" ht="12.75">
      <c r="C27" s="183"/>
    </row>
    <row r="28" ht="12.75">
      <c r="E28" s="183"/>
    </row>
  </sheetData>
  <sheetProtection/>
  <mergeCells count="5">
    <mergeCell ref="A1:F1"/>
    <mergeCell ref="A2:F2"/>
    <mergeCell ref="A3:F3"/>
    <mergeCell ref="A5:F5"/>
    <mergeCell ref="E25:F25"/>
  </mergeCells>
  <printOptions horizontalCentered="1"/>
  <pageMargins left="0.3937007874015748" right="0.3937007874015748" top="0.5905511811023623" bottom="0.7874015748031497" header="0.31496062992125984" footer="0.5118110236220472"/>
  <pageSetup fitToHeight="0" horizontalDpi="600" verticalDpi="600" orientation="landscape" paperSize="9" r:id="rId1"/>
  <headerFooter alignWithMargins="0">
    <oddHeader>&amp;C&amp;"-,Regular"&amp;12ANEXO VI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9" sqref="B9:B18"/>
    </sheetView>
  </sheetViews>
  <sheetFormatPr defaultColWidth="11.57421875" defaultRowHeight="12.75"/>
  <cols>
    <col min="1" max="1" width="32.7109375" style="2" customWidth="1"/>
    <col min="2" max="3" width="16.7109375" style="2" customWidth="1"/>
    <col min="4" max="4" width="32.7109375" style="2" customWidth="1"/>
    <col min="5" max="5" width="16.7109375" style="2" customWidth="1"/>
    <col min="6" max="16384" width="11.57421875" style="2" customWidth="1"/>
  </cols>
  <sheetData>
    <row r="1" spans="1:6" ht="12.75">
      <c r="A1" s="243" t="s">
        <v>78</v>
      </c>
      <c r="B1" s="243"/>
      <c r="C1" s="243"/>
      <c r="D1" s="243"/>
      <c r="E1" s="243"/>
      <c r="F1" s="1"/>
    </row>
    <row r="2" spans="1:6" ht="12.75">
      <c r="A2" s="243" t="s">
        <v>79</v>
      </c>
      <c r="B2" s="243"/>
      <c r="C2" s="243"/>
      <c r="D2" s="243"/>
      <c r="E2" s="243"/>
      <c r="F2" s="1"/>
    </row>
    <row r="3" spans="1:6" ht="12.75">
      <c r="A3" s="243">
        <v>2021</v>
      </c>
      <c r="B3" s="243"/>
      <c r="C3" s="243"/>
      <c r="D3" s="243"/>
      <c r="E3" s="243"/>
      <c r="F3" s="1"/>
    </row>
    <row r="4" spans="1:6" ht="12.75">
      <c r="A4" s="1"/>
      <c r="B4" s="1"/>
      <c r="C4" s="1"/>
      <c r="D4" s="1"/>
      <c r="E4" s="1"/>
      <c r="F4" s="1"/>
    </row>
    <row r="5" spans="1:6" ht="15">
      <c r="A5" s="245" t="s">
        <v>80</v>
      </c>
      <c r="B5" s="245"/>
      <c r="C5" s="245"/>
      <c r="D5" s="245"/>
      <c r="E5" s="245"/>
      <c r="F5" s="4"/>
    </row>
    <row r="6" spans="2:6" ht="15">
      <c r="B6" s="4"/>
      <c r="C6" s="4"/>
      <c r="D6" s="4"/>
      <c r="E6" s="4"/>
      <c r="F6" s="4"/>
    </row>
    <row r="7" spans="1:6" ht="15">
      <c r="A7" s="46" t="s">
        <v>81</v>
      </c>
      <c r="B7" s="4"/>
      <c r="C7" s="4"/>
      <c r="D7" s="4"/>
      <c r="E7" s="8">
        <v>1</v>
      </c>
      <c r="F7" s="4"/>
    </row>
    <row r="8" spans="1:5" s="47" customFormat="1" ht="20.25" customHeight="1">
      <c r="A8" s="36" t="s">
        <v>82</v>
      </c>
      <c r="B8" s="36" t="s">
        <v>83</v>
      </c>
      <c r="C8" s="37">
        <v>0.15</v>
      </c>
      <c r="D8" s="36" t="s">
        <v>84</v>
      </c>
      <c r="E8" s="36" t="s">
        <v>85</v>
      </c>
    </row>
    <row r="9" spans="1:5" ht="12.75">
      <c r="A9" s="39" t="s">
        <v>86</v>
      </c>
      <c r="B9" s="40">
        <v>57730000</v>
      </c>
      <c r="C9" s="40">
        <f aca="true" t="shared" si="0" ref="C9:C18">B9*0.15</f>
        <v>8659500</v>
      </c>
      <c r="D9" s="39" t="s">
        <v>87</v>
      </c>
      <c r="E9" s="40">
        <v>49696530</v>
      </c>
    </row>
    <row r="10" spans="1:5" ht="12.75">
      <c r="A10" s="39" t="s">
        <v>88</v>
      </c>
      <c r="B10" s="40">
        <v>21375000</v>
      </c>
      <c r="C10" s="40">
        <f t="shared" si="0"/>
        <v>3206250</v>
      </c>
      <c r="D10" s="39" t="s">
        <v>89</v>
      </c>
      <c r="E10" s="40">
        <v>2500000</v>
      </c>
    </row>
    <row r="11" spans="1:5" ht="12.75">
      <c r="A11" s="39" t="s">
        <v>277</v>
      </c>
      <c r="B11" s="40">
        <v>82594000</v>
      </c>
      <c r="C11" s="40">
        <f t="shared" si="0"/>
        <v>12389100</v>
      </c>
      <c r="D11" s="39" t="s">
        <v>90</v>
      </c>
      <c r="E11" s="40">
        <v>2638600</v>
      </c>
    </row>
    <row r="12" spans="1:5" ht="12.75">
      <c r="A12" s="39" t="s">
        <v>91</v>
      </c>
      <c r="B12" s="40">
        <v>45575000</v>
      </c>
      <c r="C12" s="40">
        <f t="shared" si="0"/>
        <v>6836250</v>
      </c>
      <c r="D12" s="39" t="s">
        <v>92</v>
      </c>
      <c r="E12" s="40">
        <v>3661000</v>
      </c>
    </row>
    <row r="13" spans="1:5" ht="12.75">
      <c r="A13" s="39" t="s">
        <v>95</v>
      </c>
      <c r="B13" s="40">
        <v>77510000</v>
      </c>
      <c r="C13" s="40">
        <f t="shared" si="0"/>
        <v>11626500</v>
      </c>
      <c r="D13" s="39" t="s">
        <v>93</v>
      </c>
      <c r="E13" s="40">
        <v>3062200</v>
      </c>
    </row>
    <row r="14" spans="1:5" ht="12.75">
      <c r="A14" s="39" t="s">
        <v>96</v>
      </c>
      <c r="B14" s="40">
        <v>1037000</v>
      </c>
      <c r="C14" s="40">
        <f t="shared" si="0"/>
        <v>155550</v>
      </c>
      <c r="D14" s="39" t="s">
        <v>94</v>
      </c>
      <c r="E14" s="40"/>
    </row>
    <row r="15" spans="1:5" ht="12.75">
      <c r="A15" s="39" t="s">
        <v>97</v>
      </c>
      <c r="B15" s="40">
        <f>'Anexo VI Despesas com Educação'!B15</f>
        <v>0</v>
      </c>
      <c r="C15" s="40">
        <f t="shared" si="0"/>
        <v>0</v>
      </c>
      <c r="D15" s="39"/>
      <c r="E15" s="40"/>
    </row>
    <row r="16" spans="1:5" ht="12.75">
      <c r="A16" s="39" t="s">
        <v>99</v>
      </c>
      <c r="B16" s="40">
        <v>108100000</v>
      </c>
      <c r="C16" s="40">
        <f t="shared" si="0"/>
        <v>16215000</v>
      </c>
      <c r="D16" s="39"/>
      <c r="E16" s="40"/>
    </row>
    <row r="17" spans="1:5" ht="12.75">
      <c r="A17" s="39" t="s">
        <v>100</v>
      </c>
      <c r="B17" s="40">
        <v>44961000</v>
      </c>
      <c r="C17" s="40">
        <f t="shared" si="0"/>
        <v>6744150</v>
      </c>
      <c r="D17" s="39" t="s">
        <v>98</v>
      </c>
      <c r="E17" s="40">
        <v>2599000</v>
      </c>
    </row>
    <row r="18" spans="1:5" ht="12.75">
      <c r="A18" s="39" t="s">
        <v>101</v>
      </c>
      <c r="B18" s="40">
        <v>1587000</v>
      </c>
      <c r="C18" s="40">
        <f t="shared" si="0"/>
        <v>238050</v>
      </c>
      <c r="D18" s="39"/>
      <c r="E18" s="41"/>
    </row>
    <row r="19" spans="1:5" ht="12.75">
      <c r="A19" s="39" t="s">
        <v>102</v>
      </c>
      <c r="B19" s="40" t="s">
        <v>103</v>
      </c>
      <c r="C19" s="40">
        <v>14000</v>
      </c>
      <c r="D19" s="39"/>
      <c r="E19" s="41"/>
    </row>
    <row r="20" spans="1:5" ht="12.75">
      <c r="A20" s="39" t="s">
        <v>311</v>
      </c>
      <c r="B20" s="40">
        <v>12846800</v>
      </c>
      <c r="C20" s="40">
        <f>-B20*0.15</f>
        <v>-1927020</v>
      </c>
      <c r="D20" s="39"/>
      <c r="E20" s="41"/>
    </row>
    <row r="21" spans="1:5" ht="12.75">
      <c r="A21" s="42" t="s">
        <v>104</v>
      </c>
      <c r="B21" s="158"/>
      <c r="C21" s="43">
        <f>SUM(C9:C20)</f>
        <v>64157330</v>
      </c>
      <c r="D21" s="42" t="s">
        <v>105</v>
      </c>
      <c r="E21" s="43">
        <f>SUM(E9:E19)</f>
        <v>64157330</v>
      </c>
    </row>
  </sheetData>
  <sheetProtection/>
  <mergeCells count="4">
    <mergeCell ref="A1:E1"/>
    <mergeCell ref="A2:E2"/>
    <mergeCell ref="A3:E3"/>
    <mergeCell ref="A5:E5"/>
  </mergeCells>
  <printOptions horizontalCentered="1"/>
  <pageMargins left="0.7874015748031497" right="0.7874015748031497" top="0.5905511811023623" bottom="0.7874015748031497" header="0.31496062992125984" footer="0.5118110236220472"/>
  <pageSetup fitToHeight="0" orientation="landscape" paperSize="9" r:id="rId1"/>
  <headerFooter alignWithMargins="0">
    <oddHeader>&amp;C&amp;"-,Regular"&amp;12ANEXO VI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56.140625" style="2" customWidth="1"/>
    <col min="2" max="2" width="17.28125" style="48" customWidth="1"/>
    <col min="3" max="3" width="16.7109375" style="2" customWidth="1"/>
    <col min="4" max="4" width="17.140625" style="2" customWidth="1"/>
    <col min="5" max="6" width="16.7109375" style="2" customWidth="1"/>
    <col min="7" max="16384" width="9.140625" style="2" customWidth="1"/>
  </cols>
  <sheetData>
    <row r="1" spans="1:6" ht="12" customHeight="1">
      <c r="A1" s="243" t="s">
        <v>106</v>
      </c>
      <c r="B1" s="243"/>
      <c r="C1" s="243"/>
      <c r="D1" s="243"/>
      <c r="E1" s="243"/>
      <c r="F1" s="243"/>
    </row>
    <row r="2" spans="1:6" ht="12" customHeight="1">
      <c r="A2" s="243" t="s">
        <v>107</v>
      </c>
      <c r="B2" s="243"/>
      <c r="C2" s="243"/>
      <c r="D2" s="243"/>
      <c r="E2" s="243"/>
      <c r="F2" s="243"/>
    </row>
    <row r="3" spans="1:6" ht="12" customHeight="1">
      <c r="A3" s="243">
        <v>2021</v>
      </c>
      <c r="B3" s="243"/>
      <c r="C3" s="243"/>
      <c r="D3" s="243"/>
      <c r="E3" s="243"/>
      <c r="F3" s="243"/>
    </row>
    <row r="4" spans="1:6" ht="12" customHeight="1">
      <c r="A4" s="245" t="s">
        <v>108</v>
      </c>
      <c r="B4" s="245"/>
      <c r="C4" s="245"/>
      <c r="D4" s="245"/>
      <c r="E4" s="245"/>
      <c r="F4" s="245"/>
    </row>
    <row r="5" spans="1:6" ht="9" customHeight="1">
      <c r="A5" s="49"/>
      <c r="B5" s="49"/>
      <c r="C5" s="49"/>
      <c r="D5" s="49"/>
      <c r="E5" s="49"/>
      <c r="F5" s="171">
        <v>1</v>
      </c>
    </row>
    <row r="6" spans="1:7" s="52" customFormat="1" ht="12">
      <c r="A6" s="249" t="s">
        <v>109</v>
      </c>
      <c r="B6" s="250" t="s">
        <v>110</v>
      </c>
      <c r="C6" s="250"/>
      <c r="D6" s="250" t="s">
        <v>111</v>
      </c>
      <c r="E6" s="250"/>
      <c r="F6" s="251" t="s">
        <v>112</v>
      </c>
      <c r="G6" s="51"/>
    </row>
    <row r="7" spans="1:7" s="54" customFormat="1" ht="12">
      <c r="A7" s="249"/>
      <c r="B7" s="50" t="s">
        <v>113</v>
      </c>
      <c r="C7" s="50" t="s">
        <v>114</v>
      </c>
      <c r="D7" s="50" t="s">
        <v>115</v>
      </c>
      <c r="E7" s="50" t="s">
        <v>116</v>
      </c>
      <c r="F7" s="251"/>
      <c r="G7" s="53"/>
    </row>
    <row r="8" spans="1:6" ht="12" customHeight="1">
      <c r="A8" s="55" t="s">
        <v>117</v>
      </c>
      <c r="B8" s="56" t="s">
        <v>118</v>
      </c>
      <c r="C8" s="160">
        <v>521010262.58</v>
      </c>
      <c r="D8" s="56" t="s">
        <v>119</v>
      </c>
      <c r="E8" s="160">
        <v>17925000</v>
      </c>
      <c r="F8" s="160">
        <f>C8+E8</f>
        <v>538935262.5799999</v>
      </c>
    </row>
    <row r="9" spans="1:6" ht="12" customHeight="1">
      <c r="A9" s="57" t="s">
        <v>328</v>
      </c>
      <c r="B9" s="58" t="s">
        <v>329</v>
      </c>
      <c r="C9" s="59">
        <v>-147359000</v>
      </c>
      <c r="D9" s="58"/>
      <c r="E9" s="59"/>
      <c r="F9" s="62">
        <f>C9+E9</f>
        <v>-147359000</v>
      </c>
    </row>
    <row r="10" spans="1:6" ht="12" customHeight="1">
      <c r="A10" s="57" t="s">
        <v>120</v>
      </c>
      <c r="B10" s="58" t="s">
        <v>121</v>
      </c>
      <c r="C10" s="59">
        <v>-18087000</v>
      </c>
      <c r="D10" s="58" t="s">
        <v>122</v>
      </c>
      <c r="E10" s="59">
        <v>0</v>
      </c>
      <c r="F10" s="62">
        <f>C10+E10</f>
        <v>-18087000</v>
      </c>
    </row>
    <row r="11" spans="1:6" ht="12" customHeight="1">
      <c r="A11" s="60" t="s">
        <v>123</v>
      </c>
      <c r="B11" s="58" t="s">
        <v>124</v>
      </c>
      <c r="C11" s="59">
        <v>0</v>
      </c>
      <c r="D11" s="61" t="s">
        <v>125</v>
      </c>
      <c r="E11" s="59">
        <v>0</v>
      </c>
      <c r="F11" s="62">
        <f aca="true" t="shared" si="0" ref="F11:F34">C11+E11</f>
        <v>0</v>
      </c>
    </row>
    <row r="12" spans="1:6" ht="12" customHeight="1">
      <c r="A12" s="60" t="s">
        <v>126</v>
      </c>
      <c r="B12" s="61" t="s">
        <v>127</v>
      </c>
      <c r="C12" s="59">
        <v>-500000</v>
      </c>
      <c r="D12" s="61" t="s">
        <v>127</v>
      </c>
      <c r="E12" s="64">
        <v>0</v>
      </c>
      <c r="F12" s="62">
        <f t="shared" si="0"/>
        <v>-500000</v>
      </c>
    </row>
    <row r="13" spans="1:6" ht="12" customHeight="1">
      <c r="A13" s="60" t="s">
        <v>128</v>
      </c>
      <c r="B13" s="61" t="s">
        <v>129</v>
      </c>
      <c r="C13" s="59">
        <v>-2050000</v>
      </c>
      <c r="D13" s="61" t="s">
        <v>130</v>
      </c>
      <c r="E13" s="59">
        <v>-50000</v>
      </c>
      <c r="F13" s="62">
        <f t="shared" si="0"/>
        <v>-2100000</v>
      </c>
    </row>
    <row r="14" spans="1:6" ht="12" customHeight="1">
      <c r="A14" s="60" t="s">
        <v>131</v>
      </c>
      <c r="B14" s="63"/>
      <c r="C14" s="59"/>
      <c r="D14" s="58" t="s">
        <v>132</v>
      </c>
      <c r="E14" s="59">
        <v>0</v>
      </c>
      <c r="F14" s="62">
        <f t="shared" si="0"/>
        <v>0</v>
      </c>
    </row>
    <row r="15" spans="1:6" ht="12" customHeight="1">
      <c r="A15" s="60" t="s">
        <v>133</v>
      </c>
      <c r="B15" s="63"/>
      <c r="C15" s="59"/>
      <c r="D15" s="61" t="s">
        <v>134</v>
      </c>
      <c r="E15" s="59">
        <v>0</v>
      </c>
      <c r="F15" s="62">
        <f t="shared" si="0"/>
        <v>0</v>
      </c>
    </row>
    <row r="16" spans="1:6" ht="12" customHeight="1">
      <c r="A16" s="60" t="s">
        <v>135</v>
      </c>
      <c r="B16" s="63"/>
      <c r="C16" s="59"/>
      <c r="D16" s="61" t="s">
        <v>136</v>
      </c>
      <c r="E16" s="59">
        <v>0</v>
      </c>
      <c r="F16" s="62">
        <f t="shared" si="0"/>
        <v>0</v>
      </c>
    </row>
    <row r="17" spans="1:6" ht="12" customHeight="1">
      <c r="A17" s="60" t="s">
        <v>137</v>
      </c>
      <c r="B17" s="61" t="s">
        <v>138</v>
      </c>
      <c r="C17" s="59">
        <v>0</v>
      </c>
      <c r="D17" s="61" t="s">
        <v>139</v>
      </c>
      <c r="E17" s="59">
        <v>0</v>
      </c>
      <c r="F17" s="62">
        <f t="shared" si="0"/>
        <v>0</v>
      </c>
    </row>
    <row r="18" spans="1:6" ht="12" customHeight="1">
      <c r="A18" s="60" t="s">
        <v>140</v>
      </c>
      <c r="B18" s="61" t="s">
        <v>141</v>
      </c>
      <c r="C18" s="59">
        <v>0</v>
      </c>
      <c r="D18" s="61" t="s">
        <v>142</v>
      </c>
      <c r="E18" s="59">
        <v>0</v>
      </c>
      <c r="F18" s="62">
        <f t="shared" si="0"/>
        <v>0</v>
      </c>
    </row>
    <row r="19" spans="1:6" ht="12" customHeight="1">
      <c r="A19" s="60" t="s">
        <v>143</v>
      </c>
      <c r="B19" s="63"/>
      <c r="C19" s="59">
        <v>0</v>
      </c>
      <c r="D19" s="58" t="s">
        <v>144</v>
      </c>
      <c r="E19" s="59">
        <v>0</v>
      </c>
      <c r="F19" s="62">
        <f t="shared" si="0"/>
        <v>0</v>
      </c>
    </row>
    <row r="20" spans="1:6" ht="12" customHeight="1">
      <c r="A20" s="60" t="s">
        <v>145</v>
      </c>
      <c r="B20" s="58" t="s">
        <v>146</v>
      </c>
      <c r="C20" s="59">
        <v>0</v>
      </c>
      <c r="D20" s="58" t="s">
        <v>147</v>
      </c>
      <c r="E20" s="59">
        <v>0</v>
      </c>
      <c r="F20" s="62">
        <f t="shared" si="0"/>
        <v>0</v>
      </c>
    </row>
    <row r="21" spans="1:6" ht="12" customHeight="1">
      <c r="A21" s="60" t="s">
        <v>148</v>
      </c>
      <c r="B21" s="61" t="s">
        <v>149</v>
      </c>
      <c r="C21" s="59">
        <v>0</v>
      </c>
      <c r="D21" s="61" t="s">
        <v>150</v>
      </c>
      <c r="E21" s="59">
        <v>0</v>
      </c>
      <c r="F21" s="62">
        <f t="shared" si="0"/>
        <v>0</v>
      </c>
    </row>
    <row r="22" spans="1:6" ht="12" customHeight="1">
      <c r="A22" s="60" t="s">
        <v>151</v>
      </c>
      <c r="B22" s="61" t="s">
        <v>152</v>
      </c>
      <c r="C22" s="59">
        <v>0</v>
      </c>
      <c r="D22" s="61" t="s">
        <v>153</v>
      </c>
      <c r="E22" s="59">
        <v>0</v>
      </c>
      <c r="F22" s="62">
        <f t="shared" si="0"/>
        <v>0</v>
      </c>
    </row>
    <row r="23" spans="1:6" ht="12" customHeight="1">
      <c r="A23" s="60" t="s">
        <v>154</v>
      </c>
      <c r="B23" s="61" t="s">
        <v>155</v>
      </c>
      <c r="C23" s="59">
        <v>0</v>
      </c>
      <c r="D23" s="61" t="s">
        <v>156</v>
      </c>
      <c r="E23" s="59">
        <v>0</v>
      </c>
      <c r="F23" s="62">
        <f t="shared" si="0"/>
        <v>0</v>
      </c>
    </row>
    <row r="24" spans="1:6" ht="12" customHeight="1">
      <c r="A24" s="60" t="s">
        <v>157</v>
      </c>
      <c r="B24" s="61" t="s">
        <v>158</v>
      </c>
      <c r="C24" s="59">
        <v>-78000</v>
      </c>
      <c r="D24" s="61" t="s">
        <v>159</v>
      </c>
      <c r="E24" s="59">
        <v>-350000</v>
      </c>
      <c r="F24" s="62">
        <f t="shared" si="0"/>
        <v>-428000</v>
      </c>
    </row>
    <row r="25" spans="1:6" ht="12" customHeight="1">
      <c r="A25" s="65" t="s">
        <v>160</v>
      </c>
      <c r="B25" s="58" t="s">
        <v>161</v>
      </c>
      <c r="C25" s="59">
        <v>-3034100</v>
      </c>
      <c r="D25" s="58" t="s">
        <v>162</v>
      </c>
      <c r="E25" s="59"/>
      <c r="F25" s="62">
        <f t="shared" si="0"/>
        <v>-3034100</v>
      </c>
    </row>
    <row r="26" spans="1:6" ht="12" customHeight="1">
      <c r="A26" s="65" t="s">
        <v>163</v>
      </c>
      <c r="B26" s="58" t="s">
        <v>164</v>
      </c>
      <c r="C26" s="64">
        <v>0</v>
      </c>
      <c r="D26" s="58" t="s">
        <v>165</v>
      </c>
      <c r="E26" s="59"/>
      <c r="F26" s="62">
        <f t="shared" si="0"/>
        <v>0</v>
      </c>
    </row>
    <row r="27" spans="1:6" ht="12" customHeight="1">
      <c r="A27" s="65" t="s">
        <v>166</v>
      </c>
      <c r="B27" s="58" t="s">
        <v>167</v>
      </c>
      <c r="C27" s="59">
        <v>-69000000</v>
      </c>
      <c r="D27" s="58" t="s">
        <v>168</v>
      </c>
      <c r="E27" s="59">
        <v>-1500000</v>
      </c>
      <c r="F27" s="62">
        <f t="shared" si="0"/>
        <v>-70500000</v>
      </c>
    </row>
    <row r="28" spans="1:6" ht="12" customHeight="1">
      <c r="A28" s="60" t="s">
        <v>169</v>
      </c>
      <c r="B28" s="61" t="s">
        <v>335</v>
      </c>
      <c r="C28" s="59">
        <v>-24850000</v>
      </c>
      <c r="D28" s="63"/>
      <c r="E28" s="59"/>
      <c r="F28" s="62">
        <f t="shared" si="0"/>
        <v>-24850000</v>
      </c>
    </row>
    <row r="29" spans="1:6" ht="12" customHeight="1">
      <c r="A29" s="60" t="s">
        <v>170</v>
      </c>
      <c r="B29" s="63"/>
      <c r="C29" s="59"/>
      <c r="D29" s="61" t="s">
        <v>171</v>
      </c>
      <c r="E29" s="59">
        <v>-1280000</v>
      </c>
      <c r="F29" s="62">
        <f t="shared" si="0"/>
        <v>-1280000</v>
      </c>
    </row>
    <row r="30" spans="1:6" ht="24.75" customHeight="1">
      <c r="A30" s="66" t="s">
        <v>172</v>
      </c>
      <c r="B30" s="67" t="s">
        <v>173</v>
      </c>
      <c r="C30" s="68"/>
      <c r="D30" s="63"/>
      <c r="E30" s="68"/>
      <c r="F30" s="69">
        <f t="shared" si="0"/>
        <v>0</v>
      </c>
    </row>
    <row r="31" spans="1:6" ht="15" customHeight="1">
      <c r="A31" s="70" t="s">
        <v>174</v>
      </c>
      <c r="B31" s="61"/>
      <c r="C31" s="59"/>
      <c r="D31" s="61"/>
      <c r="E31" s="59">
        <v>0</v>
      </c>
      <c r="F31" s="62">
        <f t="shared" si="0"/>
        <v>0</v>
      </c>
    </row>
    <row r="32" spans="1:6" ht="12.75">
      <c r="A32" s="70" t="s">
        <v>175</v>
      </c>
      <c r="B32" s="63"/>
      <c r="C32" s="59"/>
      <c r="D32" s="67" t="s">
        <v>176</v>
      </c>
      <c r="E32" s="59">
        <v>0</v>
      </c>
      <c r="F32" s="62">
        <f t="shared" si="0"/>
        <v>0</v>
      </c>
    </row>
    <row r="33" spans="1:6" ht="17.25" customHeight="1">
      <c r="A33" s="181" t="s">
        <v>177</v>
      </c>
      <c r="B33" s="67" t="s">
        <v>178</v>
      </c>
      <c r="C33" s="159">
        <v>7400000</v>
      </c>
      <c r="D33" s="63"/>
      <c r="E33" s="59">
        <v>0</v>
      </c>
      <c r="F33" s="96">
        <f t="shared" si="0"/>
        <v>7400000</v>
      </c>
    </row>
    <row r="34" spans="1:6" ht="12.75" customHeight="1">
      <c r="A34" s="66" t="s">
        <v>179</v>
      </c>
      <c r="B34" s="71"/>
      <c r="C34" s="68"/>
      <c r="D34" s="67" t="s">
        <v>180</v>
      </c>
      <c r="E34" s="68">
        <v>660000</v>
      </c>
      <c r="F34" s="69">
        <f t="shared" si="0"/>
        <v>660000</v>
      </c>
    </row>
    <row r="35" spans="1:6" ht="12.75">
      <c r="A35" s="72" t="s">
        <v>181</v>
      </c>
      <c r="B35" s="72"/>
      <c r="C35" s="73">
        <f>SUM(C8:C34)</f>
        <v>263452162.57999998</v>
      </c>
      <c r="D35" s="74"/>
      <c r="E35" s="73">
        <f>SUM(E8:E34)</f>
        <v>15405000</v>
      </c>
      <c r="F35" s="75">
        <f>SUM(F8:F34)</f>
        <v>278857162.5799999</v>
      </c>
    </row>
    <row r="36" spans="1:6" ht="12.75">
      <c r="A36" s="76" t="s">
        <v>396</v>
      </c>
      <c r="B36" s="77">
        <v>563747695.73</v>
      </c>
      <c r="C36" s="46"/>
      <c r="D36" s="46"/>
      <c r="E36" s="46"/>
      <c r="F36" s="46"/>
    </row>
    <row r="37" spans="1:6" ht="12.75">
      <c r="A37" s="76" t="s">
        <v>397</v>
      </c>
      <c r="B37" s="78">
        <f>C35/B36</f>
        <v>0.46732281936665715</v>
      </c>
      <c r="C37" s="46"/>
      <c r="D37" s="46"/>
      <c r="E37" s="46"/>
      <c r="F37" s="46"/>
    </row>
    <row r="38" spans="1:6" ht="12.75">
      <c r="A38" s="76" t="s">
        <v>398</v>
      </c>
      <c r="B38" s="78">
        <f>E35/B36</f>
        <v>0.02732605404276106</v>
      </c>
      <c r="C38" s="46"/>
      <c r="D38" s="46"/>
      <c r="E38" s="46"/>
      <c r="F38" s="46"/>
    </row>
    <row r="39" spans="1:6" ht="12.75">
      <c r="A39" s="79" t="s">
        <v>399</v>
      </c>
      <c r="B39" s="80">
        <f>F35/B36</f>
        <v>0.4946488734094181</v>
      </c>
      <c r="C39" s="79"/>
      <c r="D39" s="79"/>
      <c r="E39" s="79"/>
      <c r="F39" s="46"/>
    </row>
    <row r="42" ht="12.75">
      <c r="C42" s="210"/>
    </row>
  </sheetData>
  <sheetProtection/>
  <mergeCells count="8">
    <mergeCell ref="A1:F1"/>
    <mergeCell ref="A2:F2"/>
    <mergeCell ref="A3:F3"/>
    <mergeCell ref="A4:F4"/>
    <mergeCell ref="A6:A7"/>
    <mergeCell ref="B6:C6"/>
    <mergeCell ref="D6:E6"/>
    <mergeCell ref="F6:F7"/>
  </mergeCells>
  <dataValidations count="2">
    <dataValidation type="whole" operator="lessThanOrEqual" allowBlank="1" showInputMessage="1" showErrorMessage="1" promptTitle="Valores Negativos!" prompt="Coloque o valor c/ &quot;-&quot; na frente!" sqref="C11:C24 C28">
      <formula1>0</formula1>
    </dataValidation>
    <dataValidation type="whole" operator="lessThanOrEqual" allowBlank="1" showInputMessage="1" showErrorMessage="1" promptTitle="Valores Negartivos!" prompt="Coloque os valores c/ &quot;-&quot; na frente!" errorTitle="Valores devem ser negativos!" sqref="E11:E13 E15:E18 E21:E24 E29">
      <formula1>0</formula1>
    </dataValidation>
  </dataValidations>
  <printOptions horizontalCentered="1"/>
  <pageMargins left="0.2362204724409449" right="0.2362204724409449" top="0.4724409448818898" bottom="0.15748031496062992" header="0.2362204724409449" footer="0.2362204724409449"/>
  <pageSetup firstPageNumber="1" useFirstPageNumber="1" fitToHeight="0" horizontalDpi="600" verticalDpi="600" orientation="landscape" paperSize="9" r:id="rId1"/>
  <headerFooter alignWithMargins="0">
    <oddHeader>&amp;C&amp;"-,Regular"&amp;12ANEXO VII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32"/>
  <sheetViews>
    <sheetView zoomScalePageLayoutView="0" workbookViewId="0" topLeftCell="A1">
      <selection activeCell="G16" sqref="G16"/>
    </sheetView>
  </sheetViews>
  <sheetFormatPr defaultColWidth="11.57421875" defaultRowHeight="12.75"/>
  <cols>
    <col min="1" max="1" width="14.57421875" style="101" customWidth="1"/>
    <col min="2" max="2" width="18.140625" style="101" customWidth="1"/>
    <col min="3" max="3" width="14.28125" style="101" customWidth="1"/>
    <col min="4" max="4" width="13.8515625" style="101" customWidth="1"/>
    <col min="5" max="5" width="13.00390625" style="101" customWidth="1"/>
    <col min="6" max="6" width="18.00390625" style="101" customWidth="1"/>
    <col min="7" max="7" width="15.421875" style="101" customWidth="1"/>
    <col min="8" max="16384" width="11.57421875" style="101" customWidth="1"/>
  </cols>
  <sheetData>
    <row r="1" spans="1:8" s="98" customFormat="1" ht="12.75">
      <c r="A1" s="253" t="s">
        <v>0</v>
      </c>
      <c r="B1" s="253"/>
      <c r="C1" s="253"/>
      <c r="D1" s="253"/>
      <c r="E1" s="253"/>
      <c r="F1" s="253"/>
      <c r="G1" s="253"/>
      <c r="H1" s="97"/>
    </row>
    <row r="2" spans="1:8" s="98" customFormat="1" ht="12.75">
      <c r="A2" s="253" t="s">
        <v>1</v>
      </c>
      <c r="B2" s="253"/>
      <c r="C2" s="253"/>
      <c r="D2" s="253"/>
      <c r="E2" s="253"/>
      <c r="F2" s="253"/>
      <c r="G2" s="253"/>
      <c r="H2" s="97"/>
    </row>
    <row r="3" spans="1:8" s="98" customFormat="1" ht="12.75">
      <c r="A3" s="253">
        <v>2021</v>
      </c>
      <c r="B3" s="253"/>
      <c r="C3" s="253"/>
      <c r="D3" s="253"/>
      <c r="E3" s="253"/>
      <c r="F3" s="253"/>
      <c r="G3" s="253"/>
      <c r="H3" s="97"/>
    </row>
    <row r="4" spans="1:8" s="98" customFormat="1" ht="12.75">
      <c r="A4" s="99"/>
      <c r="B4" s="99"/>
      <c r="C4" s="99"/>
      <c r="D4" s="99"/>
      <c r="E4" s="99"/>
      <c r="F4" s="99"/>
      <c r="G4" s="99"/>
      <c r="H4" s="99"/>
    </row>
    <row r="5" spans="1:8" s="98" customFormat="1" ht="15">
      <c r="A5" s="254" t="s">
        <v>278</v>
      </c>
      <c r="B5" s="254"/>
      <c r="C5" s="254"/>
      <c r="D5" s="254"/>
      <c r="E5" s="254"/>
      <c r="F5" s="254"/>
      <c r="G5" s="254"/>
      <c r="H5" s="100"/>
    </row>
    <row r="6" ht="21" customHeight="1">
      <c r="G6" s="102">
        <v>1</v>
      </c>
    </row>
    <row r="7" spans="1:256" s="106" customFormat="1" ht="12.75">
      <c r="A7" s="103" t="s">
        <v>279</v>
      </c>
      <c r="B7" s="104"/>
      <c r="C7" s="104"/>
      <c r="D7" s="104"/>
      <c r="E7" s="103" t="s">
        <v>280</v>
      </c>
      <c r="F7" s="104"/>
      <c r="G7" s="105"/>
      <c r="IV7" s="101"/>
    </row>
    <row r="8" spans="1:256" s="106" customFormat="1" ht="12.75">
      <c r="A8" s="107"/>
      <c r="B8" s="104"/>
      <c r="C8" s="105"/>
      <c r="D8" s="108"/>
      <c r="E8" s="107"/>
      <c r="F8" s="104"/>
      <c r="G8" s="105"/>
      <c r="IV8" s="101"/>
    </row>
    <row r="9" spans="1:256" s="106" customFormat="1" ht="12.75">
      <c r="A9" s="109" t="s">
        <v>281</v>
      </c>
      <c r="B9" s="110"/>
      <c r="C9" s="111">
        <v>658786000</v>
      </c>
      <c r="D9" s="108"/>
      <c r="E9" s="112" t="s">
        <v>282</v>
      </c>
      <c r="F9" s="108"/>
      <c r="G9" s="113"/>
      <c r="IV9" s="101"/>
    </row>
    <row r="10" spans="1:256" s="106" customFormat="1" ht="12.75">
      <c r="A10" s="112"/>
      <c r="B10" s="108"/>
      <c r="C10" s="113"/>
      <c r="D10" s="108"/>
      <c r="E10" s="109" t="s">
        <v>110</v>
      </c>
      <c r="F10" s="114"/>
      <c r="G10" s="111">
        <v>620990000</v>
      </c>
      <c r="IV10" s="101"/>
    </row>
    <row r="11" spans="1:256" s="106" customFormat="1" ht="12.75">
      <c r="A11" s="112"/>
      <c r="B11" s="108"/>
      <c r="C11" s="113"/>
      <c r="D11" s="108"/>
      <c r="E11" s="115" t="s">
        <v>111</v>
      </c>
      <c r="F11" s="116"/>
      <c r="G11" s="117">
        <v>27360000</v>
      </c>
      <c r="IV11" s="101"/>
    </row>
    <row r="12" spans="1:256" s="106" customFormat="1" ht="12.75">
      <c r="A12" s="112"/>
      <c r="B12" s="108"/>
      <c r="C12" s="113"/>
      <c r="D12" s="108"/>
      <c r="E12" s="112"/>
      <c r="F12" s="108"/>
      <c r="G12" s="113"/>
      <c r="IV12" s="101"/>
    </row>
    <row r="13" spans="1:256" s="106" customFormat="1" ht="12.75">
      <c r="A13" s="112" t="s">
        <v>283</v>
      </c>
      <c r="B13" s="108"/>
      <c r="C13" s="113"/>
      <c r="D13" s="108"/>
      <c r="E13" s="112" t="s">
        <v>284</v>
      </c>
      <c r="F13" s="108"/>
      <c r="G13" s="113"/>
      <c r="IV13" s="101"/>
    </row>
    <row r="14" spans="1:256" s="106" customFormat="1" ht="12.75">
      <c r="A14" s="109"/>
      <c r="B14" s="110" t="s">
        <v>285</v>
      </c>
      <c r="C14" s="111">
        <v>196190000</v>
      </c>
      <c r="D14" s="108"/>
      <c r="E14" s="109" t="s">
        <v>285</v>
      </c>
      <c r="F14" s="114"/>
      <c r="G14" s="111">
        <v>204250000</v>
      </c>
      <c r="IV14" s="101"/>
    </row>
    <row r="15" spans="1:256" s="106" customFormat="1" ht="12.75">
      <c r="A15" s="115"/>
      <c r="B15" s="118" t="s">
        <v>330</v>
      </c>
      <c r="C15" s="117">
        <v>24000</v>
      </c>
      <c r="D15" s="108"/>
      <c r="E15" s="115" t="s">
        <v>330</v>
      </c>
      <c r="F15" s="116"/>
      <c r="G15" s="117">
        <v>2400000</v>
      </c>
      <c r="IV15" s="101"/>
    </row>
    <row r="16" spans="1:256" s="106" customFormat="1" ht="12.75">
      <c r="A16" s="112"/>
      <c r="B16" s="108"/>
      <c r="C16" s="113"/>
      <c r="D16" s="108"/>
      <c r="E16" s="112"/>
      <c r="F16" s="108"/>
      <c r="G16" s="113"/>
      <c r="IV16" s="101"/>
    </row>
    <row r="17" spans="1:256" s="106" customFormat="1" ht="12.75">
      <c r="A17" s="109"/>
      <c r="B17" s="119" t="s">
        <v>188</v>
      </c>
      <c r="C17" s="120">
        <f>C9+C14+C15</f>
        <v>855000000</v>
      </c>
      <c r="D17" s="108"/>
      <c r="E17" s="109"/>
      <c r="F17" s="119" t="s">
        <v>188</v>
      </c>
      <c r="G17" s="120">
        <f>G10+G11+G14+G15</f>
        <v>855000000</v>
      </c>
      <c r="IV17" s="101"/>
    </row>
    <row r="18" spans="1:256" s="106" customFormat="1" ht="12.75">
      <c r="A18" s="112"/>
      <c r="B18" s="108"/>
      <c r="C18" s="108"/>
      <c r="D18" s="108"/>
      <c r="E18" s="108"/>
      <c r="F18" s="108"/>
      <c r="G18" s="113"/>
      <c r="IV18" s="101"/>
    </row>
    <row r="19" spans="1:256" s="106" customFormat="1" ht="15.75">
      <c r="A19" s="255" t="s">
        <v>286</v>
      </c>
      <c r="B19" s="256"/>
      <c r="C19" s="256"/>
      <c r="D19" s="256"/>
      <c r="E19" s="256"/>
      <c r="F19" s="256"/>
      <c r="G19" s="257"/>
      <c r="IV19" s="101"/>
    </row>
    <row r="20" spans="1:7" ht="12.75">
      <c r="A20" s="121" t="s">
        <v>287</v>
      </c>
      <c r="B20" s="122"/>
      <c r="C20" s="122"/>
      <c r="D20" s="122"/>
      <c r="E20" s="122"/>
      <c r="F20" s="122"/>
      <c r="G20" s="123"/>
    </row>
    <row r="21" spans="1:7" ht="12.75">
      <c r="A21" s="121"/>
      <c r="B21" s="122"/>
      <c r="C21" s="122"/>
      <c r="D21" s="122"/>
      <c r="E21" s="122"/>
      <c r="F21" s="122"/>
      <c r="G21" s="123"/>
    </row>
    <row r="22" spans="1:7" ht="12.75">
      <c r="A22" s="103" t="s">
        <v>288</v>
      </c>
      <c r="B22" s="122"/>
      <c r="C22" s="122"/>
      <c r="D22" s="122"/>
      <c r="E22" s="103" t="s">
        <v>289</v>
      </c>
      <c r="F22" s="122"/>
      <c r="G22" s="123"/>
    </row>
    <row r="23" spans="1:7" ht="12.75">
      <c r="A23" s="124" t="s">
        <v>283</v>
      </c>
      <c r="B23" s="125"/>
      <c r="C23" s="126"/>
      <c r="D23" s="122"/>
      <c r="E23" s="124" t="s">
        <v>284</v>
      </c>
      <c r="F23" s="125"/>
      <c r="G23" s="126"/>
    </row>
    <row r="24" spans="1:7" ht="12.75">
      <c r="A24" s="127" t="s">
        <v>290</v>
      </c>
      <c r="B24" s="128"/>
      <c r="C24" s="129">
        <f>C14</f>
        <v>196190000</v>
      </c>
      <c r="D24" s="122"/>
      <c r="E24" s="127" t="s">
        <v>291</v>
      </c>
      <c r="F24" s="128"/>
      <c r="G24" s="129">
        <f>G14</f>
        <v>204250000</v>
      </c>
    </row>
    <row r="25" spans="1:7" ht="12.75">
      <c r="A25" s="121"/>
      <c r="B25" s="122"/>
      <c r="C25" s="122"/>
      <c r="D25" s="122"/>
      <c r="E25" s="122"/>
      <c r="F25" s="122"/>
      <c r="G25" s="123"/>
    </row>
    <row r="26" spans="1:7" ht="17.25">
      <c r="A26" s="258" t="s">
        <v>292</v>
      </c>
      <c r="B26" s="259"/>
      <c r="C26" s="259"/>
      <c r="D26" s="259"/>
      <c r="E26" s="130"/>
      <c r="F26" s="130"/>
      <c r="G26" s="131">
        <f>G24-C24</f>
        <v>8060000</v>
      </c>
    </row>
    <row r="27" spans="1:256" s="106" customFormat="1" ht="12.75">
      <c r="A27" s="132"/>
      <c r="B27" s="132"/>
      <c r="C27" s="132"/>
      <c r="D27" s="132"/>
      <c r="E27" s="132"/>
      <c r="F27" s="132"/>
      <c r="G27" s="132"/>
      <c r="IV27" s="101"/>
    </row>
    <row r="28" spans="1:7" ht="12.75">
      <c r="A28" s="133" t="s">
        <v>293</v>
      </c>
      <c r="B28" s="98"/>
      <c r="C28" s="98"/>
      <c r="D28" s="98"/>
      <c r="E28" s="98"/>
      <c r="F28" s="98"/>
      <c r="G28" s="98"/>
    </row>
    <row r="29" spans="1:7" ht="12.75">
      <c r="A29" s="98"/>
      <c r="B29" s="252" t="s">
        <v>294</v>
      </c>
      <c r="C29" s="252"/>
      <c r="D29" s="252"/>
      <c r="E29" s="252"/>
      <c r="F29" s="252"/>
      <c r="G29" s="252"/>
    </row>
    <row r="30" spans="1:7" ht="12.75">
      <c r="A30" s="98"/>
      <c r="B30" s="252"/>
      <c r="C30" s="252"/>
      <c r="D30" s="252"/>
      <c r="E30" s="252"/>
      <c r="F30" s="252"/>
      <c r="G30" s="252"/>
    </row>
    <row r="31" spans="2:7" ht="12.75">
      <c r="B31" s="134"/>
      <c r="C31" s="134"/>
      <c r="D31" s="134"/>
      <c r="E31" s="134"/>
      <c r="F31" s="134"/>
      <c r="G31" s="134"/>
    </row>
    <row r="32" spans="2:7" ht="12.75">
      <c r="B32" s="134"/>
      <c r="C32" s="134"/>
      <c r="D32" s="134"/>
      <c r="E32" s="134"/>
      <c r="F32" s="134"/>
      <c r="G32" s="134"/>
    </row>
  </sheetData>
  <sheetProtection/>
  <mergeCells count="7">
    <mergeCell ref="B29:G30"/>
    <mergeCell ref="A1:G1"/>
    <mergeCell ref="A2:G2"/>
    <mergeCell ref="A3:G3"/>
    <mergeCell ref="A5:G5"/>
    <mergeCell ref="A19:G19"/>
    <mergeCell ref="A26:D26"/>
  </mergeCells>
  <printOptions horizontalCentered="1"/>
  <pageMargins left="0.5118110236220472" right="0.5118110236220472" top="0.96" bottom="0.7874015748031497" header="0.55" footer="0.31496062992125984"/>
  <pageSetup horizontalDpi="600" verticalDpi="600" orientation="landscape" paperSize="9" r:id="rId1"/>
  <headerFooter>
    <oddHeader>&amp;C&amp;"-,Regular"&amp;12ANEXO IX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N47"/>
  <sheetViews>
    <sheetView zoomScaleSheetLayoutView="80" workbookViewId="0" topLeftCell="A16">
      <selection activeCell="C29" sqref="C29:C32"/>
    </sheetView>
  </sheetViews>
  <sheetFormatPr defaultColWidth="11.421875" defaultRowHeight="12.75"/>
  <cols>
    <col min="1" max="1" width="4.421875" style="98" customWidth="1"/>
    <col min="2" max="2" width="14.140625" style="98" customWidth="1"/>
    <col min="3" max="3" width="59.8515625" style="98" customWidth="1"/>
    <col min="4" max="4" width="9.8515625" style="98" customWidth="1"/>
    <col min="5" max="5" width="12.7109375" style="98" customWidth="1"/>
    <col min="6" max="6" width="12.57421875" style="98" customWidth="1"/>
    <col min="7" max="7" width="13.7109375" style="98" customWidth="1"/>
    <col min="8" max="8" width="14.7109375" style="98" customWidth="1"/>
    <col min="9" max="16384" width="11.421875" style="98" customWidth="1"/>
  </cols>
  <sheetData>
    <row r="1" spans="1:8" ht="12.75">
      <c r="A1" s="253" t="s">
        <v>0</v>
      </c>
      <c r="B1" s="253"/>
      <c r="C1" s="253"/>
      <c r="D1" s="253"/>
      <c r="E1" s="253"/>
      <c r="F1" s="253"/>
      <c r="G1" s="253"/>
      <c r="H1" s="253"/>
    </row>
    <row r="2" spans="1:8" ht="12.75">
      <c r="A2" s="253" t="s">
        <v>1</v>
      </c>
      <c r="B2" s="253"/>
      <c r="C2" s="253"/>
      <c r="D2" s="253"/>
      <c r="E2" s="253"/>
      <c r="F2" s="253"/>
      <c r="G2" s="253"/>
      <c r="H2" s="253"/>
    </row>
    <row r="3" spans="1:8" ht="12.75">
      <c r="A3" s="253">
        <v>2021</v>
      </c>
      <c r="B3" s="253"/>
      <c r="C3" s="253"/>
      <c r="D3" s="253"/>
      <c r="E3" s="253"/>
      <c r="F3" s="253"/>
      <c r="G3" s="253"/>
      <c r="H3" s="253"/>
    </row>
    <row r="4" spans="1:8" ht="15">
      <c r="A4" s="254" t="s">
        <v>182</v>
      </c>
      <c r="B4" s="254"/>
      <c r="C4" s="254"/>
      <c r="D4" s="254"/>
      <c r="E4" s="254"/>
      <c r="F4" s="254"/>
      <c r="G4" s="254"/>
      <c r="H4" s="254"/>
    </row>
    <row r="5" spans="1:6" ht="12.75">
      <c r="A5" s="217" t="s">
        <v>336</v>
      </c>
      <c r="C5" s="217"/>
      <c r="D5" s="217"/>
      <c r="E5" s="217"/>
      <c r="F5" s="217"/>
    </row>
    <row r="6" spans="1:8" s="140" customFormat="1" ht="18" customHeight="1">
      <c r="A6" s="214"/>
      <c r="B6" s="214" t="s">
        <v>378</v>
      </c>
      <c r="C6" s="215" t="s">
        <v>183</v>
      </c>
      <c r="D6" s="215" t="s">
        <v>360</v>
      </c>
      <c r="E6" s="216">
        <v>2021</v>
      </c>
      <c r="F6" s="216">
        <v>2022</v>
      </c>
      <c r="G6" s="216">
        <v>2023</v>
      </c>
      <c r="H6" s="216" t="s">
        <v>379</v>
      </c>
    </row>
    <row r="7" spans="1:8" s="140" customFormat="1" ht="28.5" customHeight="1">
      <c r="A7" s="226">
        <v>1</v>
      </c>
      <c r="B7" s="227" t="s">
        <v>380</v>
      </c>
      <c r="C7" s="228" t="s">
        <v>381</v>
      </c>
      <c r="D7" s="229" t="s">
        <v>184</v>
      </c>
      <c r="E7" s="230">
        <v>218300</v>
      </c>
      <c r="F7" s="230">
        <v>227500</v>
      </c>
      <c r="G7" s="231">
        <v>234800</v>
      </c>
      <c r="H7" s="273" t="s">
        <v>331</v>
      </c>
    </row>
    <row r="8" spans="1:8" s="140" customFormat="1" ht="28.5" customHeight="1">
      <c r="A8" s="226">
        <v>2</v>
      </c>
      <c r="B8" s="232" t="s">
        <v>382</v>
      </c>
      <c r="C8" s="233" t="s">
        <v>361</v>
      </c>
      <c r="D8" s="234" t="s">
        <v>184</v>
      </c>
      <c r="E8" s="230">
        <v>150000</v>
      </c>
      <c r="F8" s="230">
        <v>155300</v>
      </c>
      <c r="G8" s="231">
        <v>160300</v>
      </c>
      <c r="H8" s="273"/>
    </row>
    <row r="9" spans="1:8" s="178" customFormat="1" ht="28.5" customHeight="1">
      <c r="A9" s="226">
        <v>3</v>
      </c>
      <c r="B9" s="232" t="s">
        <v>383</v>
      </c>
      <c r="C9" s="233" t="s">
        <v>384</v>
      </c>
      <c r="D9" s="234" t="s">
        <v>184</v>
      </c>
      <c r="E9" s="230">
        <v>1332000</v>
      </c>
      <c r="F9" s="230">
        <v>1378600</v>
      </c>
      <c r="G9" s="231">
        <v>1423400</v>
      </c>
      <c r="H9" s="273"/>
    </row>
    <row r="10" spans="1:8" s="182" customFormat="1" ht="28.5" customHeight="1">
      <c r="A10" s="226">
        <v>4</v>
      </c>
      <c r="B10" s="232" t="s">
        <v>383</v>
      </c>
      <c r="C10" s="233" t="s">
        <v>362</v>
      </c>
      <c r="D10" s="234" t="s">
        <v>184</v>
      </c>
      <c r="E10" s="230">
        <v>4765000</v>
      </c>
      <c r="F10" s="230">
        <v>4931800</v>
      </c>
      <c r="G10" s="231">
        <v>5092000</v>
      </c>
      <c r="H10" s="273"/>
    </row>
    <row r="11" spans="1:8" s="182" customFormat="1" ht="28.5" customHeight="1">
      <c r="A11" s="226">
        <v>5</v>
      </c>
      <c r="B11" s="232" t="s">
        <v>385</v>
      </c>
      <c r="C11" s="235" t="s">
        <v>386</v>
      </c>
      <c r="D11" s="236" t="s">
        <v>184</v>
      </c>
      <c r="E11" s="230">
        <v>166300</v>
      </c>
      <c r="F11" s="230">
        <v>173400</v>
      </c>
      <c r="G11" s="231">
        <v>178900</v>
      </c>
      <c r="H11" s="273"/>
    </row>
    <row r="12" spans="1:8" s="178" customFormat="1" ht="33.75" customHeight="1">
      <c r="A12" s="226">
        <v>6</v>
      </c>
      <c r="B12" s="232" t="s">
        <v>387</v>
      </c>
      <c r="C12" s="235" t="s">
        <v>363</v>
      </c>
      <c r="D12" s="236" t="s">
        <v>184</v>
      </c>
      <c r="E12" s="230">
        <v>159400</v>
      </c>
      <c r="F12" s="230">
        <v>166200</v>
      </c>
      <c r="G12" s="231">
        <v>171600</v>
      </c>
      <c r="H12" s="273"/>
    </row>
    <row r="13" spans="1:8" s="178" customFormat="1" ht="33.75" customHeight="1">
      <c r="A13" s="226">
        <v>7</v>
      </c>
      <c r="B13" s="232" t="s">
        <v>387</v>
      </c>
      <c r="C13" s="235" t="s">
        <v>364</v>
      </c>
      <c r="D13" s="236" t="s">
        <v>185</v>
      </c>
      <c r="E13" s="230">
        <v>144400</v>
      </c>
      <c r="F13" s="230">
        <v>150500</v>
      </c>
      <c r="G13" s="231">
        <v>155200</v>
      </c>
      <c r="H13" s="273"/>
    </row>
    <row r="14" spans="1:8" s="178" customFormat="1" ht="36.75" customHeight="1">
      <c r="A14" s="226">
        <v>8</v>
      </c>
      <c r="B14" s="232" t="s">
        <v>387</v>
      </c>
      <c r="C14" s="237" t="s">
        <v>365</v>
      </c>
      <c r="D14" s="236" t="s">
        <v>186</v>
      </c>
      <c r="E14" s="230">
        <v>220500</v>
      </c>
      <c r="F14" s="230">
        <v>229900</v>
      </c>
      <c r="G14" s="231">
        <v>237000</v>
      </c>
      <c r="H14" s="273"/>
    </row>
    <row r="15" spans="1:8" s="178" customFormat="1" ht="40.5" customHeight="1">
      <c r="A15" s="226">
        <v>9</v>
      </c>
      <c r="B15" s="232" t="s">
        <v>387</v>
      </c>
      <c r="C15" s="233" t="s">
        <v>366</v>
      </c>
      <c r="D15" s="234" t="s">
        <v>184</v>
      </c>
      <c r="E15" s="230">
        <v>72700</v>
      </c>
      <c r="F15" s="230">
        <v>75800</v>
      </c>
      <c r="G15" s="231">
        <v>78200</v>
      </c>
      <c r="H15" s="273"/>
    </row>
    <row r="16" spans="1:8" s="178" customFormat="1" ht="18" customHeight="1">
      <c r="A16" s="264">
        <v>10</v>
      </c>
      <c r="B16" s="260" t="s">
        <v>383</v>
      </c>
      <c r="C16" s="263" t="s">
        <v>367</v>
      </c>
      <c r="D16" s="234" t="s">
        <v>184</v>
      </c>
      <c r="E16" s="230">
        <v>358400</v>
      </c>
      <c r="F16" s="230">
        <v>373600</v>
      </c>
      <c r="G16" s="231">
        <v>385700</v>
      </c>
      <c r="H16" s="273"/>
    </row>
    <row r="17" spans="1:8" s="178" customFormat="1" ht="18" customHeight="1">
      <c r="A17" s="264"/>
      <c r="B17" s="261"/>
      <c r="C17" s="263"/>
      <c r="D17" s="234" t="s">
        <v>185</v>
      </c>
      <c r="E17" s="230">
        <v>1284200</v>
      </c>
      <c r="F17" s="230">
        <v>1338800</v>
      </c>
      <c r="G17" s="231">
        <v>1382200</v>
      </c>
      <c r="H17" s="273"/>
    </row>
    <row r="18" spans="1:8" s="178" customFormat="1" ht="18" customHeight="1">
      <c r="A18" s="264"/>
      <c r="B18" s="262"/>
      <c r="C18" s="263"/>
      <c r="D18" s="234" t="s">
        <v>186</v>
      </c>
      <c r="E18" s="230">
        <v>101700</v>
      </c>
      <c r="F18" s="230">
        <v>106000</v>
      </c>
      <c r="G18" s="231">
        <v>109400</v>
      </c>
      <c r="H18" s="273"/>
    </row>
    <row r="19" spans="1:8" s="178" customFormat="1" ht="16.5" customHeight="1">
      <c r="A19" s="264">
        <v>11</v>
      </c>
      <c r="B19" s="260" t="s">
        <v>383</v>
      </c>
      <c r="C19" s="263" t="s">
        <v>368</v>
      </c>
      <c r="D19" s="234" t="s">
        <v>184</v>
      </c>
      <c r="E19" s="230">
        <v>152500</v>
      </c>
      <c r="F19" s="230">
        <v>159000</v>
      </c>
      <c r="G19" s="231">
        <v>164000</v>
      </c>
      <c r="H19" s="273"/>
    </row>
    <row r="20" spans="1:8" s="178" customFormat="1" ht="16.5" customHeight="1">
      <c r="A20" s="264"/>
      <c r="B20" s="261"/>
      <c r="C20" s="263"/>
      <c r="D20" s="234" t="s">
        <v>185</v>
      </c>
      <c r="E20" s="230">
        <v>436000</v>
      </c>
      <c r="F20" s="230">
        <v>454500</v>
      </c>
      <c r="G20" s="231">
        <v>469300</v>
      </c>
      <c r="H20" s="273"/>
    </row>
    <row r="21" spans="1:8" s="178" customFormat="1" ht="16.5" customHeight="1">
      <c r="A21" s="264"/>
      <c r="B21" s="262"/>
      <c r="C21" s="263"/>
      <c r="D21" s="234" t="s">
        <v>186</v>
      </c>
      <c r="E21" s="230">
        <v>28800</v>
      </c>
      <c r="F21" s="230">
        <v>30000</v>
      </c>
      <c r="G21" s="231">
        <v>31000</v>
      </c>
      <c r="H21" s="273"/>
    </row>
    <row r="22" spans="1:8" s="178" customFormat="1" ht="29.25" customHeight="1">
      <c r="A22" s="238">
        <v>12</v>
      </c>
      <c r="B22" s="232" t="s">
        <v>388</v>
      </c>
      <c r="C22" s="235" t="s">
        <v>369</v>
      </c>
      <c r="D22" s="236" t="s">
        <v>185</v>
      </c>
      <c r="E22" s="230">
        <v>482000</v>
      </c>
      <c r="F22" s="230">
        <v>502500</v>
      </c>
      <c r="G22" s="231">
        <v>518700</v>
      </c>
      <c r="H22" s="273"/>
    </row>
    <row r="23" spans="1:8" s="178" customFormat="1" ht="16.5" customHeight="1">
      <c r="A23" s="268">
        <v>13</v>
      </c>
      <c r="B23" s="260" t="s">
        <v>387</v>
      </c>
      <c r="C23" s="272" t="s">
        <v>370</v>
      </c>
      <c r="D23" s="236" t="s">
        <v>184</v>
      </c>
      <c r="E23" s="230">
        <v>57800</v>
      </c>
      <c r="F23" s="230">
        <v>60200</v>
      </c>
      <c r="G23" s="231">
        <v>62200</v>
      </c>
      <c r="H23" s="274" t="s">
        <v>331</v>
      </c>
    </row>
    <row r="24" spans="1:8" s="182" customFormat="1" ht="16.5" customHeight="1">
      <c r="A24" s="268"/>
      <c r="B24" s="262"/>
      <c r="C24" s="272"/>
      <c r="D24" s="236" t="s">
        <v>332</v>
      </c>
      <c r="E24" s="230">
        <v>14400</v>
      </c>
      <c r="F24" s="230">
        <v>15000</v>
      </c>
      <c r="G24" s="231">
        <v>15500</v>
      </c>
      <c r="H24" s="274"/>
    </row>
    <row r="25" spans="1:8" s="178" customFormat="1" ht="17.25" customHeight="1">
      <c r="A25" s="268">
        <v>14</v>
      </c>
      <c r="B25" s="260" t="s">
        <v>389</v>
      </c>
      <c r="C25" s="271" t="s">
        <v>371</v>
      </c>
      <c r="D25" s="236" t="s">
        <v>184</v>
      </c>
      <c r="E25" s="230">
        <v>117100</v>
      </c>
      <c r="F25" s="230">
        <v>122000</v>
      </c>
      <c r="G25" s="231">
        <v>126000</v>
      </c>
      <c r="H25" s="274"/>
    </row>
    <row r="26" spans="1:8" s="178" customFormat="1" ht="17.25" customHeight="1">
      <c r="A26" s="268"/>
      <c r="B26" s="261"/>
      <c r="C26" s="271"/>
      <c r="D26" s="236" t="s">
        <v>185</v>
      </c>
      <c r="E26" s="230">
        <v>144400</v>
      </c>
      <c r="F26" s="230">
        <v>150500</v>
      </c>
      <c r="G26" s="231">
        <v>155300</v>
      </c>
      <c r="H26" s="274"/>
    </row>
    <row r="27" spans="1:8" s="178" customFormat="1" ht="17.25" customHeight="1">
      <c r="A27" s="268"/>
      <c r="B27" s="261"/>
      <c r="C27" s="271"/>
      <c r="D27" s="236" t="s">
        <v>186</v>
      </c>
      <c r="E27" s="230">
        <v>275000</v>
      </c>
      <c r="F27" s="230">
        <v>286700</v>
      </c>
      <c r="G27" s="231">
        <v>295900</v>
      </c>
      <c r="H27" s="274"/>
    </row>
    <row r="28" spans="1:8" s="178" customFormat="1" ht="17.25" customHeight="1">
      <c r="A28" s="268"/>
      <c r="B28" s="262"/>
      <c r="C28" s="271"/>
      <c r="D28" s="236" t="s">
        <v>332</v>
      </c>
      <c r="E28" s="230">
        <v>36500</v>
      </c>
      <c r="F28" s="230">
        <v>38000</v>
      </c>
      <c r="G28" s="231">
        <v>39000</v>
      </c>
      <c r="H28" s="274"/>
    </row>
    <row r="29" spans="1:8" s="178" customFormat="1" ht="16.5" customHeight="1">
      <c r="A29" s="268">
        <v>15</v>
      </c>
      <c r="B29" s="260" t="s">
        <v>387</v>
      </c>
      <c r="C29" s="265" t="s">
        <v>372</v>
      </c>
      <c r="D29" s="236" t="s">
        <v>184</v>
      </c>
      <c r="E29" s="230">
        <v>99700</v>
      </c>
      <c r="F29" s="230">
        <v>104000</v>
      </c>
      <c r="G29" s="231">
        <v>107300</v>
      </c>
      <c r="H29" s="274"/>
    </row>
    <row r="30" spans="1:8" s="178" customFormat="1" ht="16.5" customHeight="1">
      <c r="A30" s="268"/>
      <c r="B30" s="261"/>
      <c r="C30" s="266"/>
      <c r="D30" s="236" t="s">
        <v>185</v>
      </c>
      <c r="E30" s="230">
        <v>59800</v>
      </c>
      <c r="F30" s="230">
        <v>62300</v>
      </c>
      <c r="G30" s="231">
        <v>64300</v>
      </c>
      <c r="H30" s="274"/>
    </row>
    <row r="31" spans="1:8" s="178" customFormat="1" ht="16.5" customHeight="1">
      <c r="A31" s="268"/>
      <c r="B31" s="261"/>
      <c r="C31" s="266"/>
      <c r="D31" s="236" t="s">
        <v>186</v>
      </c>
      <c r="E31" s="230">
        <v>142900</v>
      </c>
      <c r="F31" s="230">
        <v>148900</v>
      </c>
      <c r="G31" s="231">
        <v>153700</v>
      </c>
      <c r="H31" s="274"/>
    </row>
    <row r="32" spans="1:8" s="178" customFormat="1" ht="16.5" customHeight="1">
      <c r="A32" s="268"/>
      <c r="B32" s="262"/>
      <c r="C32" s="267"/>
      <c r="D32" s="236" t="s">
        <v>332</v>
      </c>
      <c r="E32" s="230">
        <v>37400</v>
      </c>
      <c r="F32" s="230">
        <v>38900</v>
      </c>
      <c r="G32" s="231">
        <v>40200</v>
      </c>
      <c r="H32" s="274"/>
    </row>
    <row r="33" spans="1:8" s="178" customFormat="1" ht="26.25" customHeight="1">
      <c r="A33" s="238">
        <v>16</v>
      </c>
      <c r="B33" s="232" t="s">
        <v>388</v>
      </c>
      <c r="C33" s="237" t="s">
        <v>373</v>
      </c>
      <c r="D33" s="236" t="s">
        <v>185</v>
      </c>
      <c r="E33" s="230">
        <v>1316200</v>
      </c>
      <c r="F33" s="230">
        <v>1372200</v>
      </c>
      <c r="G33" s="231">
        <v>1416800</v>
      </c>
      <c r="H33" s="274"/>
    </row>
    <row r="34" spans="1:8" s="178" customFormat="1" ht="18" customHeight="1">
      <c r="A34" s="268">
        <v>17</v>
      </c>
      <c r="B34" s="269" t="s">
        <v>389</v>
      </c>
      <c r="C34" s="271" t="s">
        <v>374</v>
      </c>
      <c r="D34" s="236" t="s">
        <v>184</v>
      </c>
      <c r="E34" s="230">
        <v>3600</v>
      </c>
      <c r="F34" s="230">
        <v>0</v>
      </c>
      <c r="G34" s="231">
        <v>0</v>
      </c>
      <c r="H34" s="274"/>
    </row>
    <row r="35" spans="1:8" s="178" customFormat="1" ht="18" customHeight="1">
      <c r="A35" s="268"/>
      <c r="B35" s="270"/>
      <c r="C35" s="271"/>
      <c r="D35" s="236" t="s">
        <v>185</v>
      </c>
      <c r="E35" s="230">
        <v>61700</v>
      </c>
      <c r="F35" s="230">
        <v>0</v>
      </c>
      <c r="G35" s="231">
        <v>0</v>
      </c>
      <c r="H35" s="274"/>
    </row>
    <row r="36" spans="1:8" s="91" customFormat="1" ht="16.5" customHeight="1">
      <c r="A36" s="275">
        <v>18</v>
      </c>
      <c r="B36" s="269" t="s">
        <v>389</v>
      </c>
      <c r="C36" s="265" t="s">
        <v>375</v>
      </c>
      <c r="D36" s="236" t="s">
        <v>184</v>
      </c>
      <c r="E36" s="230">
        <v>46500</v>
      </c>
      <c r="F36" s="230">
        <v>48300</v>
      </c>
      <c r="G36" s="231">
        <v>49900</v>
      </c>
      <c r="H36" s="274"/>
    </row>
    <row r="37" spans="1:8" ht="16.5" customHeight="1">
      <c r="A37" s="275"/>
      <c r="B37" s="274"/>
      <c r="C37" s="266"/>
      <c r="D37" s="236" t="s">
        <v>185</v>
      </c>
      <c r="E37" s="230">
        <v>70600</v>
      </c>
      <c r="F37" s="230">
        <v>73500</v>
      </c>
      <c r="G37" s="231">
        <v>75800</v>
      </c>
      <c r="H37" s="274"/>
    </row>
    <row r="38" spans="1:8" ht="16.5" customHeight="1">
      <c r="A38" s="275"/>
      <c r="B38" s="270"/>
      <c r="C38" s="267"/>
      <c r="D38" s="236" t="s">
        <v>332</v>
      </c>
      <c r="E38" s="230">
        <v>11600</v>
      </c>
      <c r="F38" s="230">
        <v>12100</v>
      </c>
      <c r="G38" s="231">
        <v>12500</v>
      </c>
      <c r="H38" s="274"/>
    </row>
    <row r="39" spans="1:8" ht="16.5" customHeight="1">
      <c r="A39" s="275">
        <v>19</v>
      </c>
      <c r="B39" s="269" t="s">
        <v>387</v>
      </c>
      <c r="C39" s="263" t="s">
        <v>376</v>
      </c>
      <c r="D39" s="234" t="s">
        <v>184</v>
      </c>
      <c r="E39" s="230">
        <v>376700</v>
      </c>
      <c r="F39" s="230">
        <v>392700</v>
      </c>
      <c r="G39" s="231">
        <v>405600</v>
      </c>
      <c r="H39" s="274"/>
    </row>
    <row r="40" spans="1:8" ht="16.5" customHeight="1">
      <c r="A40" s="275"/>
      <c r="B40" s="274"/>
      <c r="C40" s="263"/>
      <c r="D40" s="234" t="s">
        <v>185</v>
      </c>
      <c r="E40" s="230">
        <v>2600</v>
      </c>
      <c r="F40" s="230">
        <v>2700</v>
      </c>
      <c r="G40" s="231">
        <v>2800</v>
      </c>
      <c r="H40" s="274"/>
    </row>
    <row r="41" spans="1:8" ht="16.5" customHeight="1">
      <c r="A41" s="275"/>
      <c r="B41" s="270"/>
      <c r="C41" s="263"/>
      <c r="D41" s="234" t="s">
        <v>187</v>
      </c>
      <c r="E41" s="230">
        <v>224100</v>
      </c>
      <c r="F41" s="230">
        <v>233600</v>
      </c>
      <c r="G41" s="231">
        <v>241500</v>
      </c>
      <c r="H41" s="274"/>
    </row>
    <row r="42" spans="1:8" ht="40.5" customHeight="1">
      <c r="A42" s="226">
        <v>20</v>
      </c>
      <c r="B42" s="239" t="s">
        <v>390</v>
      </c>
      <c r="C42" s="235" t="s">
        <v>377</v>
      </c>
      <c r="D42" s="236" t="s">
        <v>312</v>
      </c>
      <c r="E42" s="230">
        <v>1741200</v>
      </c>
      <c r="F42" s="230">
        <v>1815000</v>
      </c>
      <c r="G42" s="231">
        <v>1874000</v>
      </c>
      <c r="H42" s="270"/>
    </row>
    <row r="43" spans="1:8" ht="19.5" customHeight="1">
      <c r="A43" s="278" t="s">
        <v>188</v>
      </c>
      <c r="B43" s="278"/>
      <c r="C43" s="278"/>
      <c r="D43" s="279"/>
      <c r="E43" s="240">
        <f>SUM(E7:E42)</f>
        <v>14912000</v>
      </c>
      <c r="F43" s="240">
        <f>SUM(F7:F42)</f>
        <v>15430000</v>
      </c>
      <c r="G43" s="240">
        <f>SUM(G7:G42)</f>
        <v>15930000</v>
      </c>
      <c r="H43" s="239"/>
    </row>
    <row r="44" spans="1:144" s="221" customFormat="1" ht="15.75" customHeight="1">
      <c r="A44" s="277" t="s">
        <v>391</v>
      </c>
      <c r="B44" s="277"/>
      <c r="C44" s="277"/>
      <c r="D44" s="277"/>
      <c r="E44" s="277"/>
      <c r="F44" s="277"/>
      <c r="G44" s="277"/>
      <c r="H44" s="277"/>
      <c r="I44" s="222"/>
      <c r="J44" s="218"/>
      <c r="K44" s="219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220"/>
      <c r="BD44" s="220"/>
      <c r="BE44" s="220"/>
      <c r="BF44" s="220"/>
      <c r="BG44" s="220"/>
      <c r="BH44" s="220"/>
      <c r="BI44" s="220"/>
      <c r="BJ44" s="220"/>
      <c r="BK44" s="220"/>
      <c r="BL44" s="220"/>
      <c r="BM44" s="220"/>
      <c r="BN44" s="220"/>
      <c r="BO44" s="220"/>
      <c r="BP44" s="220"/>
      <c r="BQ44" s="220"/>
      <c r="BR44" s="220"/>
      <c r="BS44" s="220"/>
      <c r="BT44" s="220"/>
      <c r="BU44" s="220"/>
      <c r="BV44" s="220"/>
      <c r="BW44" s="220"/>
      <c r="BX44" s="220"/>
      <c r="BY44" s="220"/>
      <c r="BZ44" s="220"/>
      <c r="CA44" s="220"/>
      <c r="CB44" s="220"/>
      <c r="CC44" s="220"/>
      <c r="CD44" s="220"/>
      <c r="CE44" s="220"/>
      <c r="CF44" s="220"/>
      <c r="CG44" s="220"/>
      <c r="CH44" s="220"/>
      <c r="CI44" s="220"/>
      <c r="CJ44" s="220"/>
      <c r="CK44" s="220"/>
      <c r="CL44" s="220"/>
      <c r="CM44" s="220"/>
      <c r="CN44" s="220"/>
      <c r="CO44" s="220"/>
      <c r="CP44" s="220"/>
      <c r="CQ44" s="220"/>
      <c r="CR44" s="220"/>
      <c r="CS44" s="220"/>
      <c r="CT44" s="220"/>
      <c r="CU44" s="220"/>
      <c r="CV44" s="220"/>
      <c r="CW44" s="220"/>
      <c r="CX44" s="220"/>
      <c r="CY44" s="220"/>
      <c r="CZ44" s="220"/>
      <c r="DA44" s="220"/>
      <c r="DB44" s="220"/>
      <c r="DC44" s="220"/>
      <c r="DD44" s="220"/>
      <c r="DE44" s="220"/>
      <c r="DF44" s="220"/>
      <c r="DG44" s="220"/>
      <c r="DH44" s="220"/>
      <c r="DI44" s="220"/>
      <c r="DJ44" s="220"/>
      <c r="DK44" s="220"/>
      <c r="DL44" s="220"/>
      <c r="DM44" s="220"/>
      <c r="DN44" s="220"/>
      <c r="DO44" s="220"/>
      <c r="DP44" s="220"/>
      <c r="DQ44" s="220"/>
      <c r="DR44" s="220"/>
      <c r="DS44" s="220"/>
      <c r="DT44" s="220"/>
      <c r="DU44" s="220"/>
      <c r="DV44" s="220"/>
      <c r="DW44" s="220"/>
      <c r="DX44" s="220"/>
      <c r="DY44" s="220"/>
      <c r="DZ44" s="220"/>
      <c r="EA44" s="220"/>
      <c r="EB44" s="220"/>
      <c r="EC44" s="220"/>
      <c r="ED44" s="220"/>
      <c r="EE44" s="220"/>
      <c r="EF44" s="220"/>
      <c r="EG44" s="220"/>
      <c r="EH44" s="220"/>
      <c r="EI44" s="220"/>
      <c r="EJ44" s="220"/>
      <c r="EK44" s="220"/>
      <c r="EL44" s="220"/>
      <c r="EM44" s="220"/>
      <c r="EN44" s="220"/>
    </row>
    <row r="45" spans="1:11" s="220" customFormat="1" ht="15.75" customHeight="1">
      <c r="A45" s="276" t="s">
        <v>392</v>
      </c>
      <c r="B45" s="276"/>
      <c r="C45" s="276"/>
      <c r="D45" s="276"/>
      <c r="E45" s="276"/>
      <c r="F45" s="276"/>
      <c r="G45" s="276"/>
      <c r="H45" s="276"/>
      <c r="I45" s="222"/>
      <c r="J45" s="218"/>
      <c r="K45" s="219"/>
    </row>
    <row r="46" spans="1:11" s="220" customFormat="1" ht="15.75" customHeight="1">
      <c r="A46" s="276" t="s">
        <v>393</v>
      </c>
      <c r="B46" s="276"/>
      <c r="C46" s="276"/>
      <c r="D46" s="276"/>
      <c r="E46" s="276"/>
      <c r="F46" s="276"/>
      <c r="G46" s="276"/>
      <c r="H46" s="276"/>
      <c r="I46" s="223"/>
      <c r="J46" s="218"/>
      <c r="K46" s="219"/>
    </row>
    <row r="47" spans="1:11" s="220" customFormat="1" ht="15.75" customHeight="1">
      <c r="A47" s="276" t="s">
        <v>394</v>
      </c>
      <c r="B47" s="276"/>
      <c r="C47" s="276"/>
      <c r="D47" s="276"/>
      <c r="E47" s="276"/>
      <c r="F47" s="276"/>
      <c r="G47" s="276"/>
      <c r="H47" s="276"/>
      <c r="I47" s="224"/>
      <c r="J47" s="218"/>
      <c r="K47" s="219"/>
    </row>
  </sheetData>
  <sheetProtection/>
  <mergeCells count="35">
    <mergeCell ref="A47:H47"/>
    <mergeCell ref="A1:H1"/>
    <mergeCell ref="A2:H2"/>
    <mergeCell ref="A3:H3"/>
    <mergeCell ref="A4:H4"/>
    <mergeCell ref="A45:H45"/>
    <mergeCell ref="A44:H44"/>
    <mergeCell ref="A46:H46"/>
    <mergeCell ref="A43:D43"/>
    <mergeCell ref="A25:A28"/>
    <mergeCell ref="H7:H22"/>
    <mergeCell ref="H23:H42"/>
    <mergeCell ref="A36:A38"/>
    <mergeCell ref="B36:B38"/>
    <mergeCell ref="C36:C38"/>
    <mergeCell ref="A39:A41"/>
    <mergeCell ref="B39:B41"/>
    <mergeCell ref="C39:C41"/>
    <mergeCell ref="A29:A32"/>
    <mergeCell ref="A34:A35"/>
    <mergeCell ref="B34:B35"/>
    <mergeCell ref="C34:C35"/>
    <mergeCell ref="A23:A24"/>
    <mergeCell ref="B23:B24"/>
    <mergeCell ref="C23:C24"/>
    <mergeCell ref="B25:B28"/>
    <mergeCell ref="C25:C28"/>
    <mergeCell ref="B16:B18"/>
    <mergeCell ref="C16:C18"/>
    <mergeCell ref="B19:B21"/>
    <mergeCell ref="C19:C21"/>
    <mergeCell ref="A19:A21"/>
    <mergeCell ref="B29:B32"/>
    <mergeCell ref="C29:C32"/>
    <mergeCell ref="A16:A18"/>
  </mergeCells>
  <printOptions horizontalCentered="1"/>
  <pageMargins left="0.3937007874015748" right="0.3937007874015748" top="0.5905511811023623" bottom="0.2362204724409449" header="0.31496062992125984" footer="0.15748031496062992"/>
  <pageSetup fitToHeight="0" horizontalDpi="600" verticalDpi="600" orientation="landscape" paperSize="9" r:id="rId1"/>
  <headerFooter alignWithMargins="0">
    <oddHeader>&amp;C&amp;"-,Regular"&amp;12ANEXO X</oddHeader>
  </headerFooter>
  <rowBreaks count="1" manualBreakCount="1">
    <brk id="2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U56"/>
  <sheetViews>
    <sheetView zoomScalePageLayoutView="0" workbookViewId="0" topLeftCell="A1">
      <selection activeCell="A19" sqref="A19"/>
    </sheetView>
  </sheetViews>
  <sheetFormatPr defaultColWidth="11.140625" defaultRowHeight="12.75"/>
  <cols>
    <col min="1" max="1" width="46.57421875" style="98" customWidth="1"/>
    <col min="2" max="2" width="12.57421875" style="98" customWidth="1"/>
    <col min="3" max="3" width="13.00390625" style="98" customWidth="1"/>
    <col min="4" max="4" width="12.8515625" style="98" customWidth="1"/>
    <col min="5" max="6" width="12.57421875" style="98" customWidth="1"/>
    <col min="7" max="7" width="12.7109375" style="98" customWidth="1"/>
    <col min="8" max="8" width="13.28125" style="98" customWidth="1"/>
    <col min="9" max="9" width="16.140625" style="98" customWidth="1"/>
    <col min="10" max="10" width="14.140625" style="98" customWidth="1"/>
    <col min="11" max="11" width="16.00390625" style="98" customWidth="1"/>
    <col min="12" max="12" width="11.140625" style="98" customWidth="1"/>
    <col min="13" max="13" width="13.140625" style="98" customWidth="1"/>
    <col min="14" max="14" width="11.7109375" style="98" customWidth="1"/>
    <col min="15" max="15" width="13.140625" style="98" customWidth="1"/>
    <col min="16" max="16384" width="11.140625" style="98" customWidth="1"/>
  </cols>
  <sheetData>
    <row r="1" spans="1:8" ht="12.75">
      <c r="A1" s="253" t="s">
        <v>0</v>
      </c>
      <c r="B1" s="253"/>
      <c r="C1" s="253"/>
      <c r="D1" s="253"/>
      <c r="E1" s="253"/>
      <c r="F1" s="253"/>
      <c r="G1" s="253"/>
      <c r="H1" s="253"/>
    </row>
    <row r="2" spans="1:8" ht="12.75">
      <c r="A2" s="253" t="s">
        <v>1</v>
      </c>
      <c r="B2" s="253"/>
      <c r="C2" s="253"/>
      <c r="D2" s="253"/>
      <c r="E2" s="253"/>
      <c r="F2" s="253"/>
      <c r="G2" s="253"/>
      <c r="H2" s="253"/>
    </row>
    <row r="3" spans="1:8" ht="12.75">
      <c r="A3" s="253">
        <v>2021</v>
      </c>
      <c r="B3" s="253"/>
      <c r="C3" s="253"/>
      <c r="D3" s="253"/>
      <c r="E3" s="253"/>
      <c r="F3" s="253"/>
      <c r="G3" s="253"/>
      <c r="H3" s="253"/>
    </row>
    <row r="4" spans="1:8" ht="12.75">
      <c r="A4" s="99"/>
      <c r="B4" s="99"/>
      <c r="C4" s="99"/>
      <c r="D4" s="99"/>
      <c r="E4" s="99"/>
      <c r="F4" s="99"/>
      <c r="G4" s="99"/>
      <c r="H4" s="99"/>
    </row>
    <row r="5" spans="1:8" ht="15">
      <c r="A5" s="254" t="s">
        <v>189</v>
      </c>
      <c r="B5" s="254"/>
      <c r="C5" s="254"/>
      <c r="D5" s="254"/>
      <c r="E5" s="254"/>
      <c r="F5" s="254"/>
      <c r="G5" s="254"/>
      <c r="H5" s="254"/>
    </row>
    <row r="6" spans="1:8" ht="12.75">
      <c r="A6" s="154"/>
      <c r="B6" s="154"/>
      <c r="C6" s="154"/>
      <c r="D6" s="154"/>
      <c r="E6" s="154"/>
      <c r="F6" s="154"/>
      <c r="G6" s="154"/>
      <c r="H6" s="139">
        <v>1</v>
      </c>
    </row>
    <row r="7" spans="1:8" ht="27" customHeight="1">
      <c r="A7" s="188" t="s">
        <v>49</v>
      </c>
      <c r="B7" s="189">
        <v>2017</v>
      </c>
      <c r="C7" s="189">
        <v>2018</v>
      </c>
      <c r="D7" s="189">
        <v>2019</v>
      </c>
      <c r="E7" s="189">
        <v>2020</v>
      </c>
      <c r="F7" s="189">
        <v>2021</v>
      </c>
      <c r="G7" s="189">
        <v>2022</v>
      </c>
      <c r="H7" s="189">
        <v>2023</v>
      </c>
    </row>
    <row r="8" spans="1:255" ht="12.75">
      <c r="A8" s="190" t="s">
        <v>190</v>
      </c>
      <c r="B8" s="170">
        <f>B9+B10+B13+B16+B17</f>
        <v>599317278.0799999</v>
      </c>
      <c r="C8" s="170">
        <f aca="true" t="shared" si="0" ref="C8:H8">C9+C10+C13+C16+C17-C11-C20</f>
        <v>591974145.96</v>
      </c>
      <c r="D8" s="170">
        <f t="shared" si="0"/>
        <v>613856116.14</v>
      </c>
      <c r="E8" s="170">
        <f t="shared" si="0"/>
        <v>624135537.47</v>
      </c>
      <c r="F8" s="170">
        <f t="shared" si="0"/>
        <v>637262000</v>
      </c>
      <c r="G8" s="170">
        <f t="shared" si="0"/>
        <v>661894800</v>
      </c>
      <c r="H8" s="170">
        <f t="shared" si="0"/>
        <v>683931870</v>
      </c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5"/>
      <c r="FS8" s="155"/>
      <c r="FT8" s="155"/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5"/>
      <c r="HB8" s="155"/>
      <c r="HC8" s="155"/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5"/>
      <c r="IK8" s="155"/>
      <c r="IL8" s="155"/>
      <c r="IM8" s="155"/>
      <c r="IN8" s="155"/>
      <c r="IO8" s="155"/>
      <c r="IP8" s="155"/>
      <c r="IQ8" s="155"/>
      <c r="IR8" s="155"/>
      <c r="IS8" s="155"/>
      <c r="IT8" s="155"/>
      <c r="IU8" s="155"/>
    </row>
    <row r="9" spans="1:8" ht="12.75">
      <c r="A9" s="191" t="s">
        <v>341</v>
      </c>
      <c r="B9" s="166">
        <v>165441703.1</v>
      </c>
      <c r="C9" s="166">
        <v>192170620.27</v>
      </c>
      <c r="D9" s="166">
        <v>210976009.62</v>
      </c>
      <c r="E9" s="166">
        <f>205874471.62-593413.04-130613.1-2182331.08-3144.04</f>
        <v>202964970.36</v>
      </c>
      <c r="F9" s="166">
        <f>228300500-13170800</f>
        <v>215129700</v>
      </c>
      <c r="G9" s="166">
        <f>238635100-13615000</f>
        <v>225020100</v>
      </c>
      <c r="H9" s="166">
        <f>248828020-14056000</f>
        <v>234772020</v>
      </c>
    </row>
    <row r="10" spans="1:8" ht="12.75">
      <c r="A10" s="191" t="s">
        <v>191</v>
      </c>
      <c r="B10" s="166">
        <f>SUM(B11:B12)</f>
        <v>112071189.72</v>
      </c>
      <c r="C10" s="166">
        <v>43297979.66</v>
      </c>
      <c r="D10" s="166">
        <v>44807451.78</v>
      </c>
      <c r="E10" s="166">
        <f>49155156.52-163438.07-3451.63-63</f>
        <v>48988203.82</v>
      </c>
      <c r="F10" s="166">
        <v>55326000</v>
      </c>
      <c r="G10" s="166">
        <v>57227800</v>
      </c>
      <c r="H10" s="166">
        <v>60369300</v>
      </c>
    </row>
    <row r="11" spans="1:8" ht="12.75">
      <c r="A11" s="191" t="s">
        <v>342</v>
      </c>
      <c r="B11" s="166">
        <v>86261843.82</v>
      </c>
      <c r="C11" s="166"/>
      <c r="D11" s="166"/>
      <c r="E11" s="166"/>
      <c r="F11" s="166"/>
      <c r="G11" s="166"/>
      <c r="H11" s="166"/>
    </row>
    <row r="12" spans="1:8" ht="12.75">
      <c r="A12" s="191" t="s">
        <v>192</v>
      </c>
      <c r="B12" s="166">
        <v>25809345.9</v>
      </c>
      <c r="C12" s="166"/>
      <c r="D12" s="166"/>
      <c r="E12" s="166"/>
      <c r="F12" s="166"/>
      <c r="G12" s="166"/>
      <c r="H12" s="166"/>
    </row>
    <row r="13" spans="1:8" ht="12.75">
      <c r="A13" s="191" t="s">
        <v>193</v>
      </c>
      <c r="B13" s="166">
        <f aca="true" t="shared" si="1" ref="B13:H13">B14-B15</f>
        <v>536701.0099999979</v>
      </c>
      <c r="C13" s="166">
        <f t="shared" si="1"/>
        <v>1289905.8599999994</v>
      </c>
      <c r="D13" s="166">
        <f t="shared" si="1"/>
        <v>2184261.980000004</v>
      </c>
      <c r="E13" s="166">
        <f t="shared" si="1"/>
        <v>1609688.4399999976</v>
      </c>
      <c r="F13" s="166">
        <f t="shared" si="1"/>
        <v>1863999.9999999963</v>
      </c>
      <c r="G13" s="166">
        <f t="shared" si="1"/>
        <v>1935400</v>
      </c>
      <c r="H13" s="166">
        <f t="shared" si="1"/>
        <v>1999350</v>
      </c>
    </row>
    <row r="14" spans="1:8" ht="12.75">
      <c r="A14" s="191" t="s">
        <v>194</v>
      </c>
      <c r="B14" s="166">
        <v>37813497.89</v>
      </c>
      <c r="C14" s="166">
        <v>28030981.09</v>
      </c>
      <c r="D14" s="166">
        <v>43937154.03</v>
      </c>
      <c r="E14" s="166">
        <f>40604448.4-72.11-10015.04</f>
        <v>40594361.25</v>
      </c>
      <c r="F14" s="166">
        <v>34017695.73</v>
      </c>
      <c r="G14" s="166">
        <v>38760600</v>
      </c>
      <c r="H14" s="166">
        <v>41304780</v>
      </c>
    </row>
    <row r="15" spans="1:9" ht="12.75">
      <c r="A15" s="191" t="s">
        <v>195</v>
      </c>
      <c r="B15" s="166">
        <v>37276796.88</v>
      </c>
      <c r="C15" s="166">
        <v>26741075.23</v>
      </c>
      <c r="D15" s="166">
        <v>41752892.05</v>
      </c>
      <c r="E15" s="166">
        <f>38994759.96-72.11-10015.04</f>
        <v>38984672.81</v>
      </c>
      <c r="F15" s="166">
        <v>32153695.73</v>
      </c>
      <c r="G15" s="166">
        <v>36825200</v>
      </c>
      <c r="H15" s="166">
        <v>39305430</v>
      </c>
      <c r="I15" s="167"/>
    </row>
    <row r="16" spans="1:8" ht="15" customHeight="1">
      <c r="A16" s="191" t="s">
        <v>196</v>
      </c>
      <c r="B16" s="166">
        <v>285079423.09</v>
      </c>
      <c r="C16" s="166">
        <v>321702149.57</v>
      </c>
      <c r="D16" s="166">
        <v>339844211.67</v>
      </c>
      <c r="E16" s="166">
        <f>397182541.44-41759977.16</f>
        <v>355422564.28</v>
      </c>
      <c r="F16" s="166">
        <f>395987100-45404200</f>
        <v>350582900</v>
      </c>
      <c r="G16" s="166">
        <f>409800400-47106000</f>
        <v>362694400</v>
      </c>
      <c r="H16" s="166">
        <f>422361800-48631600</f>
        <v>373730200</v>
      </c>
    </row>
    <row r="17" spans="1:8" ht="12.75">
      <c r="A17" s="191" t="s">
        <v>197</v>
      </c>
      <c r="B17" s="166">
        <f aca="true" t="shared" si="2" ref="B17:H17">B18+B19</f>
        <v>36188261.16</v>
      </c>
      <c r="C17" s="166">
        <f t="shared" si="2"/>
        <v>33611775.27</v>
      </c>
      <c r="D17" s="166">
        <f t="shared" si="2"/>
        <v>16133543.33</v>
      </c>
      <c r="E17" s="166">
        <f t="shared" si="2"/>
        <v>15150110.57</v>
      </c>
      <c r="F17" s="166">
        <f t="shared" si="2"/>
        <v>14359400</v>
      </c>
      <c r="G17" s="166">
        <f t="shared" si="2"/>
        <v>15017100</v>
      </c>
      <c r="H17" s="166">
        <f t="shared" si="2"/>
        <v>13061000</v>
      </c>
    </row>
    <row r="18" spans="1:8" ht="12.75">
      <c r="A18" s="191" t="s">
        <v>198</v>
      </c>
      <c r="B18" s="166">
        <v>8234042.3</v>
      </c>
      <c r="C18" s="166"/>
      <c r="D18" s="166"/>
      <c r="E18" s="166">
        <v>0</v>
      </c>
      <c r="F18" s="166">
        <v>0</v>
      </c>
      <c r="G18" s="166">
        <v>0</v>
      </c>
      <c r="H18" s="166">
        <v>0</v>
      </c>
    </row>
    <row r="19" spans="1:9" ht="12.75">
      <c r="A19" s="191" t="s">
        <v>199</v>
      </c>
      <c r="B19" s="166">
        <v>27954218.86</v>
      </c>
      <c r="C19" s="166">
        <v>33611775.27</v>
      </c>
      <c r="D19" s="166">
        <v>16133543.33</v>
      </c>
      <c r="E19" s="166">
        <f>838056.66+14332800.48-5220-16.93-8835.98-6673.66</f>
        <v>15150110.57</v>
      </c>
      <c r="F19" s="166">
        <f>3000+14356400</f>
        <v>14359400</v>
      </c>
      <c r="G19" s="166">
        <v>15017100</v>
      </c>
      <c r="H19" s="166">
        <v>13061000</v>
      </c>
      <c r="I19" s="167"/>
    </row>
    <row r="20" spans="1:255" ht="12.75">
      <c r="A20" s="191" t="s">
        <v>343</v>
      </c>
      <c r="B20" s="166"/>
      <c r="C20" s="166">
        <v>98284.67</v>
      </c>
      <c r="D20" s="166">
        <v>89362.24</v>
      </c>
      <c r="E20" s="166"/>
      <c r="F20" s="166"/>
      <c r="G20" s="166"/>
      <c r="H20" s="166"/>
      <c r="I20" s="168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5"/>
      <c r="EG20" s="155"/>
      <c r="EH20" s="155"/>
      <c r="EI20" s="155"/>
      <c r="EJ20" s="155"/>
      <c r="EK20" s="155"/>
      <c r="EL20" s="155"/>
      <c r="EM20" s="155"/>
      <c r="EN20" s="155"/>
      <c r="EO20" s="155"/>
      <c r="EP20" s="155"/>
      <c r="EQ20" s="155"/>
      <c r="ER20" s="155"/>
      <c r="ES20" s="155"/>
      <c r="ET20" s="155"/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  <c r="FF20" s="155"/>
      <c r="FG20" s="155"/>
      <c r="FH20" s="155"/>
      <c r="FI20" s="155"/>
      <c r="FJ20" s="155"/>
      <c r="FK20" s="155"/>
      <c r="FL20" s="155"/>
      <c r="FM20" s="155"/>
      <c r="FN20" s="155"/>
      <c r="FO20" s="155"/>
      <c r="FP20" s="155"/>
      <c r="FQ20" s="155"/>
      <c r="FR20" s="155"/>
      <c r="FS20" s="155"/>
      <c r="FT20" s="155"/>
      <c r="FU20" s="155"/>
      <c r="FV20" s="155"/>
      <c r="FW20" s="155"/>
      <c r="FX20" s="155"/>
      <c r="FY20" s="155"/>
      <c r="FZ20" s="155"/>
      <c r="GA20" s="155"/>
      <c r="GB20" s="155"/>
      <c r="GC20" s="155"/>
      <c r="GD20" s="155"/>
      <c r="GE20" s="155"/>
      <c r="GF20" s="155"/>
      <c r="GG20" s="155"/>
      <c r="GH20" s="155"/>
      <c r="GI20" s="155"/>
      <c r="GJ20" s="155"/>
      <c r="GK20" s="155"/>
      <c r="GL20" s="155"/>
      <c r="GM20" s="155"/>
      <c r="GN20" s="155"/>
      <c r="GO20" s="155"/>
      <c r="GP20" s="155"/>
      <c r="GQ20" s="155"/>
      <c r="GR20" s="155"/>
      <c r="GS20" s="155"/>
      <c r="GT20" s="155"/>
      <c r="GU20" s="155"/>
      <c r="GV20" s="155"/>
      <c r="GW20" s="155"/>
      <c r="GX20" s="155"/>
      <c r="GY20" s="155"/>
      <c r="GZ20" s="155"/>
      <c r="HA20" s="155"/>
      <c r="HB20" s="155"/>
      <c r="HC20" s="155"/>
      <c r="HD20" s="155"/>
      <c r="HE20" s="155"/>
      <c r="HF20" s="155"/>
      <c r="HG20" s="155"/>
      <c r="HH20" s="155"/>
      <c r="HI20" s="155"/>
      <c r="HJ20" s="155"/>
      <c r="HK20" s="155"/>
      <c r="HL20" s="155"/>
      <c r="HM20" s="155"/>
      <c r="HN20" s="155"/>
      <c r="HO20" s="155"/>
      <c r="HP20" s="155"/>
      <c r="HQ20" s="155"/>
      <c r="HR20" s="155"/>
      <c r="HS20" s="155"/>
      <c r="HT20" s="155"/>
      <c r="HU20" s="155"/>
      <c r="HV20" s="155"/>
      <c r="HW20" s="155"/>
      <c r="HX20" s="155"/>
      <c r="HY20" s="155"/>
      <c r="HZ20" s="155"/>
      <c r="IA20" s="155"/>
      <c r="IB20" s="155"/>
      <c r="IC20" s="155"/>
      <c r="ID20" s="155"/>
      <c r="IE20" s="155"/>
      <c r="IF20" s="155"/>
      <c r="IG20" s="155"/>
      <c r="IH20" s="155"/>
      <c r="II20" s="155"/>
      <c r="IJ20" s="155"/>
      <c r="IK20" s="155"/>
      <c r="IL20" s="155"/>
      <c r="IM20" s="155"/>
      <c r="IN20" s="155"/>
      <c r="IO20" s="155"/>
      <c r="IP20" s="155"/>
      <c r="IQ20" s="155"/>
      <c r="IR20" s="155"/>
      <c r="IS20" s="155"/>
      <c r="IT20" s="155"/>
      <c r="IU20" s="155"/>
    </row>
    <row r="21" spans="1:10" ht="12.75">
      <c r="A21" s="190" t="s">
        <v>200</v>
      </c>
      <c r="B21" s="170">
        <f aca="true" t="shared" si="3" ref="B21:H21">B22+B23+B24+B25+B28</f>
        <v>7332131.890000001</v>
      </c>
      <c r="C21" s="170">
        <f t="shared" si="3"/>
        <v>23469703.54</v>
      </c>
      <c r="D21" s="170">
        <f t="shared" si="3"/>
        <v>30565515.990000002</v>
      </c>
      <c r="E21" s="170">
        <f t="shared" si="3"/>
        <v>28076769.740000002</v>
      </c>
      <c r="F21" s="170">
        <f t="shared" si="3"/>
        <v>68919204.27</v>
      </c>
      <c r="G21" s="170">
        <f t="shared" si="3"/>
        <v>66400</v>
      </c>
      <c r="H21" s="170">
        <f t="shared" si="3"/>
        <v>58500</v>
      </c>
      <c r="I21" s="167"/>
      <c r="J21" s="167"/>
    </row>
    <row r="22" spans="1:10" ht="12.75">
      <c r="A22" s="191" t="s">
        <v>201</v>
      </c>
      <c r="B22" s="166">
        <v>4391904.61</v>
      </c>
      <c r="C22" s="166">
        <v>6492044.48</v>
      </c>
      <c r="D22" s="166">
        <v>9582608.97</v>
      </c>
      <c r="E22" s="166">
        <v>7051962.07</v>
      </c>
      <c r="F22" s="166">
        <v>18974822.77</v>
      </c>
      <c r="G22" s="166">
        <v>0</v>
      </c>
      <c r="H22" s="166">
        <v>0</v>
      </c>
      <c r="I22" s="167"/>
      <c r="J22" s="167"/>
    </row>
    <row r="23" spans="1:10" ht="12.75">
      <c r="A23" s="191" t="s">
        <v>202</v>
      </c>
      <c r="B23" s="166">
        <v>20791.99</v>
      </c>
      <c r="C23" s="166">
        <v>29825.88</v>
      </c>
      <c r="D23" s="166">
        <v>30573.4</v>
      </c>
      <c r="E23" s="166">
        <v>30559.37</v>
      </c>
      <c r="F23" s="166">
        <v>30400</v>
      </c>
      <c r="G23" s="166">
        <v>31400</v>
      </c>
      <c r="H23" s="166">
        <v>32500</v>
      </c>
      <c r="I23" s="167"/>
      <c r="J23" s="167"/>
    </row>
    <row r="24" spans="1:8" ht="12.75">
      <c r="A24" s="191" t="s">
        <v>203</v>
      </c>
      <c r="B24" s="166">
        <v>124561.46</v>
      </c>
      <c r="C24" s="166">
        <v>88860.85</v>
      </c>
      <c r="D24" s="166">
        <v>183174</v>
      </c>
      <c r="E24" s="166">
        <f>1149514.02-99807.89</f>
        <v>1049706.1300000001</v>
      </c>
      <c r="F24" s="166">
        <f>16353800-1741200</f>
        <v>14612600</v>
      </c>
      <c r="G24" s="166">
        <f>1850000-1815000</f>
        <v>35000</v>
      </c>
      <c r="H24" s="166">
        <f>1900000-1874000</f>
        <v>26000</v>
      </c>
    </row>
    <row r="25" spans="1:8" ht="12.75">
      <c r="A25" s="191" t="s">
        <v>204</v>
      </c>
      <c r="B25" s="166">
        <f aca="true" t="shared" si="4" ref="B25:H25">B26+B27</f>
        <v>2792795.9899999998</v>
      </c>
      <c r="C25" s="166">
        <f t="shared" si="4"/>
        <v>16858972.33</v>
      </c>
      <c r="D25" s="166">
        <f t="shared" si="4"/>
        <v>20769159.62</v>
      </c>
      <c r="E25" s="166">
        <f t="shared" si="4"/>
        <v>19944542.17</v>
      </c>
      <c r="F25" s="166">
        <f t="shared" si="4"/>
        <v>35301381.5</v>
      </c>
      <c r="G25" s="166">
        <f t="shared" si="4"/>
        <v>0</v>
      </c>
      <c r="H25" s="166">
        <f t="shared" si="4"/>
        <v>0</v>
      </c>
    </row>
    <row r="26" spans="1:8" ht="12.75">
      <c r="A26" s="191" t="s">
        <v>205</v>
      </c>
      <c r="B26" s="166">
        <v>172473.84</v>
      </c>
      <c r="C26" s="166">
        <v>1509147.99</v>
      </c>
      <c r="D26" s="166">
        <v>0</v>
      </c>
      <c r="E26" s="166">
        <v>0</v>
      </c>
      <c r="F26" s="166">
        <v>0</v>
      </c>
      <c r="G26" s="166">
        <v>0</v>
      </c>
      <c r="H26" s="166">
        <v>0</v>
      </c>
    </row>
    <row r="27" spans="1:8" ht="12.75">
      <c r="A27" s="191" t="s">
        <v>206</v>
      </c>
      <c r="B27" s="166">
        <v>2620322.15</v>
      </c>
      <c r="C27" s="166">
        <v>15349824.34</v>
      </c>
      <c r="D27" s="166">
        <v>20769159.62</v>
      </c>
      <c r="E27" s="166">
        <v>19944542.17</v>
      </c>
      <c r="F27" s="166">
        <v>35301381.5</v>
      </c>
      <c r="G27" s="166">
        <v>0</v>
      </c>
      <c r="H27" s="166">
        <f>'[1]EVOLUÇÃO DA RECEITA'!H24-H26</f>
        <v>0</v>
      </c>
    </row>
    <row r="28" spans="1:255" ht="12.75">
      <c r="A28" s="191" t="s">
        <v>207</v>
      </c>
      <c r="B28" s="166">
        <v>2077.84</v>
      </c>
      <c r="C28" s="166">
        <v>0</v>
      </c>
      <c r="D28" s="166">
        <v>0</v>
      </c>
      <c r="E28" s="166">
        <v>0</v>
      </c>
      <c r="F28" s="166">
        <v>0</v>
      </c>
      <c r="G28" s="166">
        <v>0</v>
      </c>
      <c r="H28" s="166">
        <v>0</v>
      </c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  <c r="EV28" s="155"/>
      <c r="EW28" s="155"/>
      <c r="EX28" s="155"/>
      <c r="EY28" s="155"/>
      <c r="EZ28" s="155"/>
      <c r="FA28" s="155"/>
      <c r="FB28" s="155"/>
      <c r="FC28" s="155"/>
      <c r="FD28" s="155"/>
      <c r="FE28" s="155"/>
      <c r="FF28" s="155"/>
      <c r="FG28" s="155"/>
      <c r="FH28" s="155"/>
      <c r="FI28" s="155"/>
      <c r="FJ28" s="155"/>
      <c r="FK28" s="155"/>
      <c r="FL28" s="155"/>
      <c r="FM28" s="155"/>
      <c r="FN28" s="155"/>
      <c r="FO28" s="155"/>
      <c r="FP28" s="155"/>
      <c r="FQ28" s="155"/>
      <c r="FR28" s="155"/>
      <c r="FS28" s="155"/>
      <c r="FT28" s="155"/>
      <c r="FU28" s="155"/>
      <c r="FV28" s="155"/>
      <c r="FW28" s="155"/>
      <c r="FX28" s="155"/>
      <c r="FY28" s="155"/>
      <c r="FZ28" s="155"/>
      <c r="GA28" s="155"/>
      <c r="GB28" s="155"/>
      <c r="GC28" s="155"/>
      <c r="GD28" s="155"/>
      <c r="GE28" s="155"/>
      <c r="GF28" s="155"/>
      <c r="GG28" s="155"/>
      <c r="GH28" s="155"/>
      <c r="GI28" s="155"/>
      <c r="GJ28" s="155"/>
      <c r="GK28" s="155"/>
      <c r="GL28" s="155"/>
      <c r="GM28" s="155"/>
      <c r="GN28" s="155"/>
      <c r="GO28" s="155"/>
      <c r="GP28" s="155"/>
      <c r="GQ28" s="155"/>
      <c r="GR28" s="155"/>
      <c r="GS28" s="155"/>
      <c r="GT28" s="155"/>
      <c r="GU28" s="155"/>
      <c r="GV28" s="155"/>
      <c r="GW28" s="155"/>
      <c r="GX28" s="155"/>
      <c r="GY28" s="155"/>
      <c r="GZ28" s="155"/>
      <c r="HA28" s="155"/>
      <c r="HB28" s="155"/>
      <c r="HC28" s="155"/>
      <c r="HD28" s="155"/>
      <c r="HE28" s="155"/>
      <c r="HF28" s="155"/>
      <c r="HG28" s="155"/>
      <c r="HH28" s="155"/>
      <c r="HI28" s="155"/>
      <c r="HJ28" s="155"/>
      <c r="HK28" s="155"/>
      <c r="HL28" s="155"/>
      <c r="HM28" s="155"/>
      <c r="HN28" s="155"/>
      <c r="HO28" s="155"/>
      <c r="HP28" s="155"/>
      <c r="HQ28" s="155"/>
      <c r="HR28" s="155"/>
      <c r="HS28" s="155"/>
      <c r="HT28" s="155"/>
      <c r="HU28" s="155"/>
      <c r="HV28" s="155"/>
      <c r="HW28" s="155"/>
      <c r="HX28" s="155"/>
      <c r="HY28" s="155"/>
      <c r="HZ28" s="155"/>
      <c r="IA28" s="155"/>
      <c r="IB28" s="155"/>
      <c r="IC28" s="155"/>
      <c r="ID28" s="155"/>
      <c r="IE28" s="155"/>
      <c r="IF28" s="155"/>
      <c r="IG28" s="155"/>
      <c r="IH28" s="155"/>
      <c r="II28" s="155"/>
      <c r="IJ28" s="155"/>
      <c r="IK28" s="155"/>
      <c r="IL28" s="155"/>
      <c r="IM28" s="155"/>
      <c r="IN28" s="155"/>
      <c r="IO28" s="155"/>
      <c r="IP28" s="155"/>
      <c r="IQ28" s="155"/>
      <c r="IR28" s="155"/>
      <c r="IS28" s="155"/>
      <c r="IT28" s="155"/>
      <c r="IU28" s="155"/>
    </row>
    <row r="29" spans="1:255" ht="12.75">
      <c r="A29" s="190" t="s">
        <v>344</v>
      </c>
      <c r="B29" s="170">
        <f>B21-B22-B23-B24</f>
        <v>2794873.83</v>
      </c>
      <c r="C29" s="170">
        <f>C21-C22-C23-C24</f>
        <v>16858972.33</v>
      </c>
      <c r="D29" s="170">
        <f>D21-D22-D23</f>
        <v>20952333.620000005</v>
      </c>
      <c r="E29" s="170">
        <f>E21-E22-E23</f>
        <v>20994248.3</v>
      </c>
      <c r="F29" s="170">
        <f>F21-F22-F23</f>
        <v>49913981.5</v>
      </c>
      <c r="G29" s="170">
        <f>G21-G22-G23</f>
        <v>35000</v>
      </c>
      <c r="H29" s="170">
        <f>H21-H22-H23</f>
        <v>26000</v>
      </c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55"/>
      <c r="FH29" s="155"/>
      <c r="FI29" s="155"/>
      <c r="FJ29" s="155"/>
      <c r="FK29" s="155"/>
      <c r="FL29" s="155"/>
      <c r="FM29" s="155"/>
      <c r="FN29" s="155"/>
      <c r="FO29" s="155"/>
      <c r="FP29" s="155"/>
      <c r="FQ29" s="155"/>
      <c r="FR29" s="155"/>
      <c r="FS29" s="155"/>
      <c r="FT29" s="155"/>
      <c r="FU29" s="155"/>
      <c r="FV29" s="155"/>
      <c r="FW29" s="155"/>
      <c r="FX29" s="155"/>
      <c r="FY29" s="155"/>
      <c r="FZ29" s="155"/>
      <c r="GA29" s="155"/>
      <c r="GB29" s="155"/>
      <c r="GC29" s="155"/>
      <c r="GD29" s="155"/>
      <c r="GE29" s="155"/>
      <c r="GF29" s="155"/>
      <c r="GG29" s="155"/>
      <c r="GH29" s="155"/>
      <c r="GI29" s="155"/>
      <c r="GJ29" s="155"/>
      <c r="GK29" s="155"/>
      <c r="GL29" s="155"/>
      <c r="GM29" s="155"/>
      <c r="GN29" s="155"/>
      <c r="GO29" s="155"/>
      <c r="GP29" s="155"/>
      <c r="GQ29" s="155"/>
      <c r="GR29" s="155"/>
      <c r="GS29" s="155"/>
      <c r="GT29" s="155"/>
      <c r="GU29" s="155"/>
      <c r="GV29" s="155"/>
      <c r="GW29" s="155"/>
      <c r="GX29" s="155"/>
      <c r="GY29" s="155"/>
      <c r="GZ29" s="155"/>
      <c r="HA29" s="155"/>
      <c r="HB29" s="155"/>
      <c r="HC29" s="155"/>
      <c r="HD29" s="155"/>
      <c r="HE29" s="155"/>
      <c r="HF29" s="155"/>
      <c r="HG29" s="155"/>
      <c r="HH29" s="155"/>
      <c r="HI29" s="155"/>
      <c r="HJ29" s="155"/>
      <c r="HK29" s="155"/>
      <c r="HL29" s="155"/>
      <c r="HM29" s="155"/>
      <c r="HN29" s="155"/>
      <c r="HO29" s="155"/>
      <c r="HP29" s="155"/>
      <c r="HQ29" s="155"/>
      <c r="HR29" s="155"/>
      <c r="HS29" s="155"/>
      <c r="HT29" s="155"/>
      <c r="HU29" s="155"/>
      <c r="HV29" s="155"/>
      <c r="HW29" s="155"/>
      <c r="HX29" s="155"/>
      <c r="HY29" s="155"/>
      <c r="HZ29" s="155"/>
      <c r="IA29" s="155"/>
      <c r="IB29" s="155"/>
      <c r="IC29" s="155"/>
      <c r="ID29" s="155"/>
      <c r="IE29" s="155"/>
      <c r="IF29" s="155"/>
      <c r="IG29" s="155"/>
      <c r="IH29" s="155"/>
      <c r="II29" s="155"/>
      <c r="IJ29" s="155"/>
      <c r="IK29" s="155"/>
      <c r="IL29" s="155"/>
      <c r="IM29" s="155"/>
      <c r="IN29" s="155"/>
      <c r="IO29" s="155"/>
      <c r="IP29" s="155"/>
      <c r="IQ29" s="155"/>
      <c r="IR29" s="155"/>
      <c r="IS29" s="155"/>
      <c r="IT29" s="155"/>
      <c r="IU29" s="155"/>
    </row>
    <row r="30" spans="1:8" ht="12.75">
      <c r="A30" s="192" t="s">
        <v>345</v>
      </c>
      <c r="B30" s="193">
        <f aca="true" t="shared" si="5" ref="B30:H30">B8+B29</f>
        <v>602112151.91</v>
      </c>
      <c r="C30" s="193">
        <f t="shared" si="5"/>
        <v>608833118.2900001</v>
      </c>
      <c r="D30" s="193">
        <f t="shared" si="5"/>
        <v>634808449.76</v>
      </c>
      <c r="E30" s="193">
        <f t="shared" si="5"/>
        <v>645129785.77</v>
      </c>
      <c r="F30" s="193">
        <f t="shared" si="5"/>
        <v>687175981.5</v>
      </c>
      <c r="G30" s="193">
        <f t="shared" si="5"/>
        <v>661929800</v>
      </c>
      <c r="H30" s="193">
        <f t="shared" si="5"/>
        <v>683957870</v>
      </c>
    </row>
    <row r="31" spans="1:8" ht="12.75">
      <c r="A31" s="190" t="s">
        <v>208</v>
      </c>
      <c r="B31" s="170">
        <f aca="true" t="shared" si="6" ref="B31:H31">B32+B34+B35</f>
        <v>589590480.1</v>
      </c>
      <c r="C31" s="170">
        <f>C32+C34+C35</f>
        <v>626890716.27</v>
      </c>
      <c r="D31" s="170">
        <f>D32+D34+D35</f>
        <v>678812015.97</v>
      </c>
      <c r="E31" s="170">
        <f t="shared" si="6"/>
        <v>700630000</v>
      </c>
      <c r="F31" s="170">
        <f>F32+F34+F35</f>
        <v>712743954.44</v>
      </c>
      <c r="G31" s="170">
        <f>G32+G34+G35</f>
        <v>739471852.7274001</v>
      </c>
      <c r="H31" s="170">
        <f t="shared" si="6"/>
        <v>763504687.953409</v>
      </c>
    </row>
    <row r="32" spans="1:10" ht="12.75">
      <c r="A32" s="191" t="s">
        <v>209</v>
      </c>
      <c r="B32" s="166">
        <v>422891527.27</v>
      </c>
      <c r="C32" s="166">
        <v>443141079.82</v>
      </c>
      <c r="D32" s="166">
        <v>492570173.63</v>
      </c>
      <c r="E32" s="166">
        <v>521700000</v>
      </c>
      <c r="F32" s="166">
        <v>538935262.58</v>
      </c>
      <c r="G32" s="166">
        <f>F32*1.03</f>
        <v>555103320.4574001</v>
      </c>
      <c r="H32" s="166">
        <f>G32*1.035</f>
        <v>574531936.673409</v>
      </c>
      <c r="I32" s="167"/>
      <c r="J32" s="167"/>
    </row>
    <row r="33" spans="1:255" ht="12.75">
      <c r="A33" s="191" t="s">
        <v>346</v>
      </c>
      <c r="B33" s="166"/>
      <c r="C33" s="166">
        <v>71719228.85</v>
      </c>
      <c r="D33" s="166">
        <v>96273673.81</v>
      </c>
      <c r="E33" s="166">
        <v>103350000</v>
      </c>
      <c r="F33" s="166">
        <v>115665100</v>
      </c>
      <c r="G33" s="166">
        <v>134813600</v>
      </c>
      <c r="H33" s="166">
        <v>150104200</v>
      </c>
      <c r="I33" s="168"/>
      <c r="J33" s="168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/>
      <c r="DH33" s="155"/>
      <c r="DI33" s="155"/>
      <c r="DJ33" s="155"/>
      <c r="DK33" s="155"/>
      <c r="DL33" s="155"/>
      <c r="DM33" s="155"/>
      <c r="DN33" s="155"/>
      <c r="DO33" s="155"/>
      <c r="DP33" s="155"/>
      <c r="DQ33" s="155"/>
      <c r="DR33" s="155"/>
      <c r="DS33" s="155"/>
      <c r="DT33" s="155"/>
      <c r="DU33" s="155"/>
      <c r="DV33" s="155"/>
      <c r="DW33" s="155"/>
      <c r="DX33" s="155"/>
      <c r="DY33" s="155"/>
      <c r="DZ33" s="155"/>
      <c r="EA33" s="155"/>
      <c r="EB33" s="155"/>
      <c r="EC33" s="155"/>
      <c r="ED33" s="155"/>
      <c r="EE33" s="155"/>
      <c r="EF33" s="155"/>
      <c r="EG33" s="155"/>
      <c r="EH33" s="155"/>
      <c r="EI33" s="155"/>
      <c r="EJ33" s="155"/>
      <c r="EK33" s="155"/>
      <c r="EL33" s="155"/>
      <c r="EM33" s="155"/>
      <c r="EN33" s="155"/>
      <c r="EO33" s="155"/>
      <c r="EP33" s="155"/>
      <c r="EQ33" s="155"/>
      <c r="ER33" s="155"/>
      <c r="ES33" s="155"/>
      <c r="ET33" s="155"/>
      <c r="EU33" s="155"/>
      <c r="EV33" s="155"/>
      <c r="EW33" s="155"/>
      <c r="EX33" s="155"/>
      <c r="EY33" s="155"/>
      <c r="EZ33" s="155"/>
      <c r="FA33" s="155"/>
      <c r="FB33" s="155"/>
      <c r="FC33" s="155"/>
      <c r="FD33" s="155"/>
      <c r="FE33" s="155"/>
      <c r="FF33" s="155"/>
      <c r="FG33" s="155"/>
      <c r="FH33" s="155"/>
      <c r="FI33" s="155"/>
      <c r="FJ33" s="155"/>
      <c r="FK33" s="155"/>
      <c r="FL33" s="155"/>
      <c r="FM33" s="155"/>
      <c r="FN33" s="155"/>
      <c r="FO33" s="155"/>
      <c r="FP33" s="155"/>
      <c r="FQ33" s="155"/>
      <c r="FR33" s="155"/>
      <c r="FS33" s="155"/>
      <c r="FT33" s="155"/>
      <c r="FU33" s="155"/>
      <c r="FV33" s="155"/>
      <c r="FW33" s="155"/>
      <c r="FX33" s="155"/>
      <c r="FY33" s="155"/>
      <c r="FZ33" s="155"/>
      <c r="GA33" s="155"/>
      <c r="GB33" s="155"/>
      <c r="GC33" s="155"/>
      <c r="GD33" s="155"/>
      <c r="GE33" s="155"/>
      <c r="GF33" s="155"/>
      <c r="GG33" s="155"/>
      <c r="GH33" s="155"/>
      <c r="GI33" s="155"/>
      <c r="GJ33" s="155"/>
      <c r="GK33" s="155"/>
      <c r="GL33" s="155"/>
      <c r="GM33" s="155"/>
      <c r="GN33" s="155"/>
      <c r="GO33" s="155"/>
      <c r="GP33" s="155"/>
      <c r="GQ33" s="155"/>
      <c r="GR33" s="155"/>
      <c r="GS33" s="155"/>
      <c r="GT33" s="155"/>
      <c r="GU33" s="155"/>
      <c r="GV33" s="155"/>
      <c r="GW33" s="155"/>
      <c r="GX33" s="155"/>
      <c r="GY33" s="155"/>
      <c r="GZ33" s="155"/>
      <c r="HA33" s="155"/>
      <c r="HB33" s="155"/>
      <c r="HC33" s="155"/>
      <c r="HD33" s="155"/>
      <c r="HE33" s="155"/>
      <c r="HF33" s="155"/>
      <c r="HG33" s="155"/>
      <c r="HH33" s="155"/>
      <c r="HI33" s="155"/>
      <c r="HJ33" s="155"/>
      <c r="HK33" s="155"/>
      <c r="HL33" s="155"/>
      <c r="HM33" s="155"/>
      <c r="HN33" s="155"/>
      <c r="HO33" s="155"/>
      <c r="HP33" s="155"/>
      <c r="HQ33" s="155"/>
      <c r="HR33" s="155"/>
      <c r="HS33" s="155"/>
      <c r="HT33" s="155"/>
      <c r="HU33" s="155"/>
      <c r="HV33" s="155"/>
      <c r="HW33" s="155"/>
      <c r="HX33" s="155"/>
      <c r="HY33" s="155"/>
      <c r="HZ33" s="155"/>
      <c r="IA33" s="155"/>
      <c r="IB33" s="155"/>
      <c r="IC33" s="155"/>
      <c r="ID33" s="155"/>
      <c r="IE33" s="155"/>
      <c r="IF33" s="155"/>
      <c r="IG33" s="155"/>
      <c r="IH33" s="155"/>
      <c r="II33" s="155"/>
      <c r="IJ33" s="155"/>
      <c r="IK33" s="155"/>
      <c r="IL33" s="155"/>
      <c r="IM33" s="155"/>
      <c r="IN33" s="155"/>
      <c r="IO33" s="155"/>
      <c r="IP33" s="155"/>
      <c r="IQ33" s="155"/>
      <c r="IR33" s="155"/>
      <c r="IS33" s="155"/>
      <c r="IT33" s="155"/>
      <c r="IU33" s="155"/>
    </row>
    <row r="34" spans="1:255" ht="12.75">
      <c r="A34" s="191" t="s">
        <v>210</v>
      </c>
      <c r="B34" s="166">
        <v>1990196.29</v>
      </c>
      <c r="C34" s="166">
        <v>2263438.44</v>
      </c>
      <c r="D34" s="166">
        <v>3572130.74</v>
      </c>
      <c r="E34" s="166">
        <v>3930000</v>
      </c>
      <c r="F34" s="166">
        <v>4450000</v>
      </c>
      <c r="G34" s="166">
        <v>4730000</v>
      </c>
      <c r="H34" s="166">
        <v>5205000</v>
      </c>
      <c r="I34" s="168"/>
      <c r="J34" s="168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5"/>
      <c r="DE34" s="155"/>
      <c r="DF34" s="155"/>
      <c r="DG34" s="155"/>
      <c r="DH34" s="155"/>
      <c r="DI34" s="155"/>
      <c r="DJ34" s="155"/>
      <c r="DK34" s="155"/>
      <c r="DL34" s="155"/>
      <c r="DM34" s="155"/>
      <c r="DN34" s="155"/>
      <c r="DO34" s="155"/>
      <c r="DP34" s="155"/>
      <c r="DQ34" s="155"/>
      <c r="DR34" s="155"/>
      <c r="DS34" s="155"/>
      <c r="DT34" s="155"/>
      <c r="DU34" s="155"/>
      <c r="DV34" s="155"/>
      <c r="DW34" s="155"/>
      <c r="DX34" s="155"/>
      <c r="DY34" s="155"/>
      <c r="DZ34" s="155"/>
      <c r="EA34" s="155"/>
      <c r="EB34" s="155"/>
      <c r="EC34" s="155"/>
      <c r="ED34" s="155"/>
      <c r="EE34" s="155"/>
      <c r="EF34" s="155"/>
      <c r="EG34" s="155"/>
      <c r="EH34" s="155"/>
      <c r="EI34" s="155"/>
      <c r="EJ34" s="155"/>
      <c r="EK34" s="155"/>
      <c r="EL34" s="155"/>
      <c r="EM34" s="155"/>
      <c r="EN34" s="155"/>
      <c r="EO34" s="155"/>
      <c r="EP34" s="155"/>
      <c r="EQ34" s="155"/>
      <c r="ER34" s="155"/>
      <c r="ES34" s="155"/>
      <c r="ET34" s="155"/>
      <c r="EU34" s="155"/>
      <c r="EV34" s="155"/>
      <c r="EW34" s="155"/>
      <c r="EX34" s="155"/>
      <c r="EY34" s="155"/>
      <c r="EZ34" s="155"/>
      <c r="FA34" s="155"/>
      <c r="FB34" s="155"/>
      <c r="FC34" s="155"/>
      <c r="FD34" s="155"/>
      <c r="FE34" s="155"/>
      <c r="FF34" s="155"/>
      <c r="FG34" s="155"/>
      <c r="FH34" s="155"/>
      <c r="FI34" s="155"/>
      <c r="FJ34" s="155"/>
      <c r="FK34" s="155"/>
      <c r="FL34" s="155"/>
      <c r="FM34" s="155"/>
      <c r="FN34" s="155"/>
      <c r="FO34" s="155"/>
      <c r="FP34" s="155"/>
      <c r="FQ34" s="155"/>
      <c r="FR34" s="155"/>
      <c r="FS34" s="155"/>
      <c r="FT34" s="155"/>
      <c r="FU34" s="155"/>
      <c r="FV34" s="155"/>
      <c r="FW34" s="155"/>
      <c r="FX34" s="155"/>
      <c r="FY34" s="155"/>
      <c r="FZ34" s="155"/>
      <c r="GA34" s="155"/>
      <c r="GB34" s="155"/>
      <c r="GC34" s="155"/>
      <c r="GD34" s="155"/>
      <c r="GE34" s="155"/>
      <c r="GF34" s="155"/>
      <c r="GG34" s="155"/>
      <c r="GH34" s="155"/>
      <c r="GI34" s="155"/>
      <c r="GJ34" s="155"/>
      <c r="GK34" s="155"/>
      <c r="GL34" s="155"/>
      <c r="GM34" s="155"/>
      <c r="GN34" s="155"/>
      <c r="GO34" s="155"/>
      <c r="GP34" s="155"/>
      <c r="GQ34" s="155"/>
      <c r="GR34" s="155"/>
      <c r="GS34" s="155"/>
      <c r="GT34" s="155"/>
      <c r="GU34" s="155"/>
      <c r="GV34" s="155"/>
      <c r="GW34" s="155"/>
      <c r="GX34" s="155"/>
      <c r="GY34" s="155"/>
      <c r="GZ34" s="155"/>
      <c r="HA34" s="155"/>
      <c r="HB34" s="155"/>
      <c r="HC34" s="155"/>
      <c r="HD34" s="155"/>
      <c r="HE34" s="155"/>
      <c r="HF34" s="155"/>
      <c r="HG34" s="155"/>
      <c r="HH34" s="155"/>
      <c r="HI34" s="155"/>
      <c r="HJ34" s="155"/>
      <c r="HK34" s="155"/>
      <c r="HL34" s="155"/>
      <c r="HM34" s="155"/>
      <c r="HN34" s="155"/>
      <c r="HO34" s="155"/>
      <c r="HP34" s="155"/>
      <c r="HQ34" s="155"/>
      <c r="HR34" s="155"/>
      <c r="HS34" s="155"/>
      <c r="HT34" s="155"/>
      <c r="HU34" s="155"/>
      <c r="HV34" s="155"/>
      <c r="HW34" s="155"/>
      <c r="HX34" s="155"/>
      <c r="HY34" s="155"/>
      <c r="HZ34" s="155"/>
      <c r="IA34" s="155"/>
      <c r="IB34" s="155"/>
      <c r="IC34" s="155"/>
      <c r="ID34" s="155"/>
      <c r="IE34" s="155"/>
      <c r="IF34" s="155"/>
      <c r="IG34" s="155"/>
      <c r="IH34" s="155"/>
      <c r="II34" s="155"/>
      <c r="IJ34" s="155"/>
      <c r="IK34" s="155"/>
      <c r="IL34" s="155"/>
      <c r="IM34" s="155"/>
      <c r="IN34" s="155"/>
      <c r="IO34" s="155"/>
      <c r="IP34" s="155"/>
      <c r="IQ34" s="155"/>
      <c r="IR34" s="155"/>
      <c r="IS34" s="155"/>
      <c r="IT34" s="155"/>
      <c r="IU34" s="155"/>
    </row>
    <row r="35" spans="1:10" ht="12.75">
      <c r="A35" s="191" t="s">
        <v>211</v>
      </c>
      <c r="B35" s="166">
        <v>164708756.54</v>
      </c>
      <c r="C35" s="166">
        <v>181486198.01</v>
      </c>
      <c r="D35" s="166">
        <v>182669711.6</v>
      </c>
      <c r="E35" s="166">
        <v>175000000</v>
      </c>
      <c r="F35" s="166">
        <v>169358691.86</v>
      </c>
      <c r="G35" s="166">
        <v>179638532.27</v>
      </c>
      <c r="H35" s="166">
        <v>183767751.28</v>
      </c>
      <c r="I35" s="167"/>
      <c r="J35" s="167"/>
    </row>
    <row r="36" spans="1:10" ht="12.75">
      <c r="A36" s="191" t="s">
        <v>347</v>
      </c>
      <c r="B36" s="166"/>
      <c r="C36" s="166">
        <v>1253.89</v>
      </c>
      <c r="D36" s="166">
        <v>0</v>
      </c>
      <c r="E36" s="166">
        <v>4622.82</v>
      </c>
      <c r="F36" s="166">
        <v>67200</v>
      </c>
      <c r="G36" s="166">
        <v>70000</v>
      </c>
      <c r="H36" s="166">
        <v>75000</v>
      </c>
      <c r="I36" s="167"/>
      <c r="J36" s="167"/>
    </row>
    <row r="37" spans="1:8" ht="12.75">
      <c r="A37" s="190" t="s">
        <v>212</v>
      </c>
      <c r="B37" s="170">
        <f>B31-B34</f>
        <v>587600283.8100001</v>
      </c>
      <c r="C37" s="170">
        <f aca="true" t="shared" si="7" ref="C37:H37">C31-C34-C33-C36</f>
        <v>552906795.0899999</v>
      </c>
      <c r="D37" s="170">
        <f>D31-D34-D33-D36</f>
        <v>578966211.4200001</v>
      </c>
      <c r="E37" s="170">
        <f>E31-E34-E33-E36</f>
        <v>593345377.18</v>
      </c>
      <c r="F37" s="170">
        <f>F31-F34-F33-F36</f>
        <v>592561654.44</v>
      </c>
      <c r="G37" s="170">
        <f t="shared" si="7"/>
        <v>599858252.7274001</v>
      </c>
      <c r="H37" s="170">
        <f t="shared" si="7"/>
        <v>608120487.953409</v>
      </c>
    </row>
    <row r="38" spans="1:8" ht="12.75">
      <c r="A38" s="190" t="s">
        <v>213</v>
      </c>
      <c r="B38" s="170">
        <f aca="true" t="shared" si="8" ref="B38:H38">B39+B40+B44</f>
        <v>35539459.61</v>
      </c>
      <c r="C38" s="170">
        <f t="shared" si="8"/>
        <v>39935743.77</v>
      </c>
      <c r="D38" s="170">
        <f t="shared" si="8"/>
        <v>42603262.39</v>
      </c>
      <c r="E38" s="170">
        <f>E39+E40+E44</f>
        <v>62715000</v>
      </c>
      <c r="F38" s="170">
        <f t="shared" si="8"/>
        <v>122828045.56</v>
      </c>
      <c r="G38" s="170">
        <f t="shared" si="8"/>
        <v>73978147.27</v>
      </c>
      <c r="H38" s="170">
        <f t="shared" si="8"/>
        <v>89095312.05</v>
      </c>
    </row>
    <row r="39" spans="1:8" ht="12.75">
      <c r="A39" s="191" t="s">
        <v>214</v>
      </c>
      <c r="B39" s="166">
        <v>10096263.52</v>
      </c>
      <c r="C39" s="166">
        <v>13355745.9</v>
      </c>
      <c r="D39" s="166">
        <v>21024488.24</v>
      </c>
      <c r="E39" s="166">
        <v>36900000</v>
      </c>
      <c r="F39" s="166">
        <v>91282845.56</v>
      </c>
      <c r="G39" s="166">
        <v>29846747.27</v>
      </c>
      <c r="H39" s="166">
        <v>41062812.05</v>
      </c>
    </row>
    <row r="40" spans="1:8" ht="12.75">
      <c r="A40" s="191" t="s">
        <v>215</v>
      </c>
      <c r="B40" s="166">
        <f aca="true" t="shared" si="9" ref="B40:H40">B41+B42+B43</f>
        <v>7347.82</v>
      </c>
      <c r="C40" s="166">
        <f t="shared" si="9"/>
        <v>84618.8</v>
      </c>
      <c r="D40" s="166">
        <f t="shared" si="9"/>
        <v>33140</v>
      </c>
      <c r="E40" s="166">
        <f t="shared" si="9"/>
        <v>15000</v>
      </c>
      <c r="F40" s="166">
        <f t="shared" si="9"/>
        <v>34200</v>
      </c>
      <c r="G40" s="166">
        <f t="shared" si="9"/>
        <v>31400</v>
      </c>
      <c r="H40" s="166">
        <f t="shared" si="9"/>
        <v>32500</v>
      </c>
    </row>
    <row r="41" spans="1:255" ht="12.75">
      <c r="A41" s="191" t="s">
        <v>216</v>
      </c>
      <c r="B41" s="166">
        <v>7347.82</v>
      </c>
      <c r="C41" s="166">
        <v>84618.8</v>
      </c>
      <c r="D41" s="166">
        <v>33140</v>
      </c>
      <c r="E41" s="166">
        <v>15000</v>
      </c>
      <c r="F41" s="166">
        <v>34200</v>
      </c>
      <c r="G41" s="166">
        <v>31400</v>
      </c>
      <c r="H41" s="166">
        <v>32500</v>
      </c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5"/>
      <c r="CY41" s="155"/>
      <c r="CZ41" s="155"/>
      <c r="DA41" s="155"/>
      <c r="DB41" s="155"/>
      <c r="DC41" s="155"/>
      <c r="DD41" s="155"/>
      <c r="DE41" s="155"/>
      <c r="DF41" s="155"/>
      <c r="DG41" s="155"/>
      <c r="DH41" s="155"/>
      <c r="DI41" s="155"/>
      <c r="DJ41" s="155"/>
      <c r="DK41" s="155"/>
      <c r="DL41" s="155"/>
      <c r="DM41" s="155"/>
      <c r="DN41" s="155"/>
      <c r="DO41" s="155"/>
      <c r="DP41" s="155"/>
      <c r="DQ41" s="155"/>
      <c r="DR41" s="155"/>
      <c r="DS41" s="155"/>
      <c r="DT41" s="155"/>
      <c r="DU41" s="155"/>
      <c r="DV41" s="155"/>
      <c r="DW41" s="155"/>
      <c r="DX41" s="155"/>
      <c r="DY41" s="155"/>
      <c r="DZ41" s="155"/>
      <c r="EA41" s="155"/>
      <c r="EB41" s="155"/>
      <c r="EC41" s="155"/>
      <c r="ED41" s="155"/>
      <c r="EE41" s="155"/>
      <c r="EF41" s="155"/>
      <c r="EG41" s="155"/>
      <c r="EH41" s="155"/>
      <c r="EI41" s="155"/>
      <c r="EJ41" s="155"/>
      <c r="EK41" s="155"/>
      <c r="EL41" s="155"/>
      <c r="EM41" s="155"/>
      <c r="EN41" s="155"/>
      <c r="EO41" s="155"/>
      <c r="EP41" s="155"/>
      <c r="EQ41" s="155"/>
      <c r="ER41" s="155"/>
      <c r="ES41" s="155"/>
      <c r="ET41" s="155"/>
      <c r="EU41" s="155"/>
      <c r="EV41" s="155"/>
      <c r="EW41" s="155"/>
      <c r="EX41" s="155"/>
      <c r="EY41" s="155"/>
      <c r="EZ41" s="155"/>
      <c r="FA41" s="155"/>
      <c r="FB41" s="155"/>
      <c r="FC41" s="155"/>
      <c r="FD41" s="155"/>
      <c r="FE41" s="155"/>
      <c r="FF41" s="155"/>
      <c r="FG41" s="155"/>
      <c r="FH41" s="155"/>
      <c r="FI41" s="155"/>
      <c r="FJ41" s="155"/>
      <c r="FK41" s="155"/>
      <c r="FL41" s="155"/>
      <c r="FM41" s="155"/>
      <c r="FN41" s="155"/>
      <c r="FO41" s="155"/>
      <c r="FP41" s="155"/>
      <c r="FQ41" s="155"/>
      <c r="FR41" s="155"/>
      <c r="FS41" s="155"/>
      <c r="FT41" s="155"/>
      <c r="FU41" s="155"/>
      <c r="FV41" s="155"/>
      <c r="FW41" s="155"/>
      <c r="FX41" s="155"/>
      <c r="FY41" s="155"/>
      <c r="FZ41" s="155"/>
      <c r="GA41" s="155"/>
      <c r="GB41" s="155"/>
      <c r="GC41" s="155"/>
      <c r="GD41" s="155"/>
      <c r="GE41" s="155"/>
      <c r="GF41" s="155"/>
      <c r="GG41" s="155"/>
      <c r="GH41" s="155"/>
      <c r="GI41" s="155"/>
      <c r="GJ41" s="155"/>
      <c r="GK41" s="155"/>
      <c r="GL41" s="155"/>
      <c r="GM41" s="155"/>
      <c r="GN41" s="155"/>
      <c r="GO41" s="155"/>
      <c r="GP41" s="155"/>
      <c r="GQ41" s="155"/>
      <c r="GR41" s="155"/>
      <c r="GS41" s="155"/>
      <c r="GT41" s="155"/>
      <c r="GU41" s="155"/>
      <c r="GV41" s="155"/>
      <c r="GW41" s="155"/>
      <c r="GX41" s="155"/>
      <c r="GY41" s="155"/>
      <c r="GZ41" s="155"/>
      <c r="HA41" s="155"/>
      <c r="HB41" s="155"/>
      <c r="HC41" s="155"/>
      <c r="HD41" s="155"/>
      <c r="HE41" s="155"/>
      <c r="HF41" s="155"/>
      <c r="HG41" s="155"/>
      <c r="HH41" s="155"/>
      <c r="HI41" s="155"/>
      <c r="HJ41" s="155"/>
      <c r="HK41" s="155"/>
      <c r="HL41" s="155"/>
      <c r="HM41" s="155"/>
      <c r="HN41" s="155"/>
      <c r="HO41" s="155"/>
      <c r="HP41" s="155"/>
      <c r="HQ41" s="155"/>
      <c r="HR41" s="155"/>
      <c r="HS41" s="155"/>
      <c r="HT41" s="155"/>
      <c r="HU41" s="155"/>
      <c r="HV41" s="155"/>
      <c r="HW41" s="155"/>
      <c r="HX41" s="155"/>
      <c r="HY41" s="155"/>
      <c r="HZ41" s="155"/>
      <c r="IA41" s="155"/>
      <c r="IB41" s="155"/>
      <c r="IC41" s="155"/>
      <c r="ID41" s="155"/>
      <c r="IE41" s="155"/>
      <c r="IF41" s="155"/>
      <c r="IG41" s="155"/>
      <c r="IH41" s="155"/>
      <c r="II41" s="155"/>
      <c r="IJ41" s="155"/>
      <c r="IK41" s="155"/>
      <c r="IL41" s="155"/>
      <c r="IM41" s="155"/>
      <c r="IN41" s="155"/>
      <c r="IO41" s="155"/>
      <c r="IP41" s="155"/>
      <c r="IQ41" s="155"/>
      <c r="IR41" s="155"/>
      <c r="IS41" s="155"/>
      <c r="IT41" s="155"/>
      <c r="IU41" s="155"/>
    </row>
    <row r="42" spans="1:255" ht="12.75">
      <c r="A42" s="191" t="s">
        <v>217</v>
      </c>
      <c r="B42" s="166">
        <v>0</v>
      </c>
      <c r="C42" s="166">
        <v>0</v>
      </c>
      <c r="D42" s="166">
        <v>0</v>
      </c>
      <c r="E42" s="166">
        <v>0</v>
      </c>
      <c r="F42" s="166">
        <v>0</v>
      </c>
      <c r="G42" s="166">
        <v>0</v>
      </c>
      <c r="H42" s="166">
        <v>0</v>
      </c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  <c r="CW42" s="155"/>
      <c r="CX42" s="155"/>
      <c r="CY42" s="155"/>
      <c r="CZ42" s="155"/>
      <c r="DA42" s="155"/>
      <c r="DB42" s="155"/>
      <c r="DC42" s="155"/>
      <c r="DD42" s="155"/>
      <c r="DE42" s="155"/>
      <c r="DF42" s="155"/>
      <c r="DG42" s="155"/>
      <c r="DH42" s="155"/>
      <c r="DI42" s="155"/>
      <c r="DJ42" s="155"/>
      <c r="DK42" s="155"/>
      <c r="DL42" s="155"/>
      <c r="DM42" s="155"/>
      <c r="DN42" s="155"/>
      <c r="DO42" s="155"/>
      <c r="DP42" s="155"/>
      <c r="DQ42" s="155"/>
      <c r="DR42" s="155"/>
      <c r="DS42" s="155"/>
      <c r="DT42" s="155"/>
      <c r="DU42" s="155"/>
      <c r="DV42" s="155"/>
      <c r="DW42" s="155"/>
      <c r="DX42" s="155"/>
      <c r="DY42" s="155"/>
      <c r="DZ42" s="155"/>
      <c r="EA42" s="155"/>
      <c r="EB42" s="155"/>
      <c r="EC42" s="155"/>
      <c r="ED42" s="155"/>
      <c r="EE42" s="155"/>
      <c r="EF42" s="155"/>
      <c r="EG42" s="155"/>
      <c r="EH42" s="155"/>
      <c r="EI42" s="155"/>
      <c r="EJ42" s="155"/>
      <c r="EK42" s="155"/>
      <c r="EL42" s="155"/>
      <c r="EM42" s="155"/>
      <c r="EN42" s="155"/>
      <c r="EO42" s="155"/>
      <c r="EP42" s="155"/>
      <c r="EQ42" s="155"/>
      <c r="ER42" s="155"/>
      <c r="ES42" s="155"/>
      <c r="ET42" s="155"/>
      <c r="EU42" s="155"/>
      <c r="EV42" s="155"/>
      <c r="EW42" s="155"/>
      <c r="EX42" s="155"/>
      <c r="EY42" s="155"/>
      <c r="EZ42" s="155"/>
      <c r="FA42" s="155"/>
      <c r="FB42" s="155"/>
      <c r="FC42" s="155"/>
      <c r="FD42" s="155"/>
      <c r="FE42" s="155"/>
      <c r="FF42" s="155"/>
      <c r="FG42" s="155"/>
      <c r="FH42" s="155"/>
      <c r="FI42" s="155"/>
      <c r="FJ42" s="155"/>
      <c r="FK42" s="155"/>
      <c r="FL42" s="155"/>
      <c r="FM42" s="155"/>
      <c r="FN42" s="155"/>
      <c r="FO42" s="155"/>
      <c r="FP42" s="155"/>
      <c r="FQ42" s="155"/>
      <c r="FR42" s="155"/>
      <c r="FS42" s="155"/>
      <c r="FT42" s="155"/>
      <c r="FU42" s="155"/>
      <c r="FV42" s="155"/>
      <c r="FW42" s="155"/>
      <c r="FX42" s="155"/>
      <c r="FY42" s="155"/>
      <c r="FZ42" s="155"/>
      <c r="GA42" s="155"/>
      <c r="GB42" s="155"/>
      <c r="GC42" s="155"/>
      <c r="GD42" s="155"/>
      <c r="GE42" s="155"/>
      <c r="GF42" s="155"/>
      <c r="GG42" s="155"/>
      <c r="GH42" s="155"/>
      <c r="GI42" s="155"/>
      <c r="GJ42" s="155"/>
      <c r="GK42" s="155"/>
      <c r="GL42" s="155"/>
      <c r="GM42" s="155"/>
      <c r="GN42" s="155"/>
      <c r="GO42" s="155"/>
      <c r="GP42" s="155"/>
      <c r="GQ42" s="155"/>
      <c r="GR42" s="155"/>
      <c r="GS42" s="155"/>
      <c r="GT42" s="155"/>
      <c r="GU42" s="155"/>
      <c r="GV42" s="155"/>
      <c r="GW42" s="155"/>
      <c r="GX42" s="155"/>
      <c r="GY42" s="155"/>
      <c r="GZ42" s="155"/>
      <c r="HA42" s="155"/>
      <c r="HB42" s="155"/>
      <c r="HC42" s="155"/>
      <c r="HD42" s="155"/>
      <c r="HE42" s="155"/>
      <c r="HF42" s="155"/>
      <c r="HG42" s="155"/>
      <c r="HH42" s="155"/>
      <c r="HI42" s="155"/>
      <c r="HJ42" s="155"/>
      <c r="HK42" s="155"/>
      <c r="HL42" s="155"/>
      <c r="HM42" s="155"/>
      <c r="HN42" s="155"/>
      <c r="HO42" s="155"/>
      <c r="HP42" s="155"/>
      <c r="HQ42" s="155"/>
      <c r="HR42" s="155"/>
      <c r="HS42" s="155"/>
      <c r="HT42" s="155"/>
      <c r="HU42" s="155"/>
      <c r="HV42" s="155"/>
      <c r="HW42" s="155"/>
      <c r="HX42" s="155"/>
      <c r="HY42" s="155"/>
      <c r="HZ42" s="155"/>
      <c r="IA42" s="155"/>
      <c r="IB42" s="155"/>
      <c r="IC42" s="155"/>
      <c r="ID42" s="155"/>
      <c r="IE42" s="155"/>
      <c r="IF42" s="155"/>
      <c r="IG42" s="155"/>
      <c r="IH42" s="155"/>
      <c r="II42" s="155"/>
      <c r="IJ42" s="155"/>
      <c r="IK42" s="155"/>
      <c r="IL42" s="155"/>
      <c r="IM42" s="155"/>
      <c r="IN42" s="155"/>
      <c r="IO42" s="155"/>
      <c r="IP42" s="155"/>
      <c r="IQ42" s="155"/>
      <c r="IR42" s="155"/>
      <c r="IS42" s="155"/>
      <c r="IT42" s="155"/>
      <c r="IU42" s="155"/>
    </row>
    <row r="43" spans="1:255" ht="12.75">
      <c r="A43" s="191" t="s">
        <v>218</v>
      </c>
      <c r="B43" s="166">
        <v>0</v>
      </c>
      <c r="C43" s="166">
        <v>0</v>
      </c>
      <c r="D43" s="166">
        <v>0</v>
      </c>
      <c r="E43" s="166">
        <v>0</v>
      </c>
      <c r="F43" s="166">
        <v>0</v>
      </c>
      <c r="G43" s="166">
        <v>0</v>
      </c>
      <c r="H43" s="166">
        <v>0</v>
      </c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/>
      <c r="CZ43" s="155"/>
      <c r="DA43" s="155"/>
      <c r="DB43" s="155"/>
      <c r="DC43" s="155"/>
      <c r="DD43" s="155"/>
      <c r="DE43" s="155"/>
      <c r="DF43" s="155"/>
      <c r="DG43" s="155"/>
      <c r="DH43" s="155"/>
      <c r="DI43" s="155"/>
      <c r="DJ43" s="155"/>
      <c r="DK43" s="155"/>
      <c r="DL43" s="155"/>
      <c r="DM43" s="155"/>
      <c r="DN43" s="155"/>
      <c r="DO43" s="155"/>
      <c r="DP43" s="155"/>
      <c r="DQ43" s="155"/>
      <c r="DR43" s="155"/>
      <c r="DS43" s="155"/>
      <c r="DT43" s="155"/>
      <c r="DU43" s="155"/>
      <c r="DV43" s="155"/>
      <c r="DW43" s="155"/>
      <c r="DX43" s="155"/>
      <c r="DY43" s="155"/>
      <c r="DZ43" s="155"/>
      <c r="EA43" s="155"/>
      <c r="EB43" s="155"/>
      <c r="EC43" s="155"/>
      <c r="ED43" s="155"/>
      <c r="EE43" s="155"/>
      <c r="EF43" s="155"/>
      <c r="EG43" s="155"/>
      <c r="EH43" s="155"/>
      <c r="EI43" s="155"/>
      <c r="EJ43" s="155"/>
      <c r="EK43" s="155"/>
      <c r="EL43" s="155"/>
      <c r="EM43" s="155"/>
      <c r="EN43" s="155"/>
      <c r="EO43" s="155"/>
      <c r="EP43" s="155"/>
      <c r="EQ43" s="155"/>
      <c r="ER43" s="155"/>
      <c r="ES43" s="155"/>
      <c r="ET43" s="155"/>
      <c r="EU43" s="155"/>
      <c r="EV43" s="155"/>
      <c r="EW43" s="155"/>
      <c r="EX43" s="155"/>
      <c r="EY43" s="155"/>
      <c r="EZ43" s="155"/>
      <c r="FA43" s="155"/>
      <c r="FB43" s="155"/>
      <c r="FC43" s="155"/>
      <c r="FD43" s="155"/>
      <c r="FE43" s="155"/>
      <c r="FF43" s="155"/>
      <c r="FG43" s="155"/>
      <c r="FH43" s="155"/>
      <c r="FI43" s="155"/>
      <c r="FJ43" s="155"/>
      <c r="FK43" s="155"/>
      <c r="FL43" s="155"/>
      <c r="FM43" s="155"/>
      <c r="FN43" s="155"/>
      <c r="FO43" s="155"/>
      <c r="FP43" s="155"/>
      <c r="FQ43" s="155"/>
      <c r="FR43" s="155"/>
      <c r="FS43" s="155"/>
      <c r="FT43" s="155"/>
      <c r="FU43" s="155"/>
      <c r="FV43" s="155"/>
      <c r="FW43" s="155"/>
      <c r="FX43" s="155"/>
      <c r="FY43" s="155"/>
      <c r="FZ43" s="155"/>
      <c r="GA43" s="155"/>
      <c r="GB43" s="155"/>
      <c r="GC43" s="155"/>
      <c r="GD43" s="155"/>
      <c r="GE43" s="155"/>
      <c r="GF43" s="155"/>
      <c r="GG43" s="155"/>
      <c r="GH43" s="155"/>
      <c r="GI43" s="155"/>
      <c r="GJ43" s="155"/>
      <c r="GK43" s="155"/>
      <c r="GL43" s="155"/>
      <c r="GM43" s="155"/>
      <c r="GN43" s="155"/>
      <c r="GO43" s="155"/>
      <c r="GP43" s="155"/>
      <c r="GQ43" s="155"/>
      <c r="GR43" s="155"/>
      <c r="GS43" s="155"/>
      <c r="GT43" s="155"/>
      <c r="GU43" s="155"/>
      <c r="GV43" s="155"/>
      <c r="GW43" s="155"/>
      <c r="GX43" s="155"/>
      <c r="GY43" s="155"/>
      <c r="GZ43" s="155"/>
      <c r="HA43" s="155"/>
      <c r="HB43" s="155"/>
      <c r="HC43" s="155"/>
      <c r="HD43" s="155"/>
      <c r="HE43" s="155"/>
      <c r="HF43" s="155"/>
      <c r="HG43" s="155"/>
      <c r="HH43" s="155"/>
      <c r="HI43" s="155"/>
      <c r="HJ43" s="155"/>
      <c r="HK43" s="155"/>
      <c r="HL43" s="155"/>
      <c r="HM43" s="155"/>
      <c r="HN43" s="155"/>
      <c r="HO43" s="155"/>
      <c r="HP43" s="155"/>
      <c r="HQ43" s="155"/>
      <c r="HR43" s="155"/>
      <c r="HS43" s="155"/>
      <c r="HT43" s="155"/>
      <c r="HU43" s="155"/>
      <c r="HV43" s="155"/>
      <c r="HW43" s="155"/>
      <c r="HX43" s="155"/>
      <c r="HY43" s="155"/>
      <c r="HZ43" s="155"/>
      <c r="IA43" s="155"/>
      <c r="IB43" s="155"/>
      <c r="IC43" s="155"/>
      <c r="ID43" s="155"/>
      <c r="IE43" s="155"/>
      <c r="IF43" s="155"/>
      <c r="IG43" s="155"/>
      <c r="IH43" s="155"/>
      <c r="II43" s="155"/>
      <c r="IJ43" s="155"/>
      <c r="IK43" s="155"/>
      <c r="IL43" s="155"/>
      <c r="IM43" s="155"/>
      <c r="IN43" s="155"/>
      <c r="IO43" s="155"/>
      <c r="IP43" s="155"/>
      <c r="IQ43" s="155"/>
      <c r="IR43" s="155"/>
      <c r="IS43" s="155"/>
      <c r="IT43" s="155"/>
      <c r="IU43" s="155"/>
    </row>
    <row r="44" spans="1:8" ht="12.75">
      <c r="A44" s="191" t="s">
        <v>219</v>
      </c>
      <c r="B44" s="166">
        <v>25435848.27</v>
      </c>
      <c r="C44" s="166">
        <v>26495379.07</v>
      </c>
      <c r="D44" s="166">
        <v>21545634.15</v>
      </c>
      <c r="E44" s="166">
        <v>25800000</v>
      </c>
      <c r="F44" s="166">
        <v>31511000</v>
      </c>
      <c r="G44" s="166">
        <v>44100000</v>
      </c>
      <c r="H44" s="166">
        <v>48000000</v>
      </c>
    </row>
    <row r="45" spans="1:255" ht="18" customHeight="1">
      <c r="A45" s="190" t="s">
        <v>220</v>
      </c>
      <c r="B45" s="170">
        <f aca="true" t="shared" si="10" ref="B45:H45">B38-B41-B42-B44</f>
        <v>10096263.52</v>
      </c>
      <c r="C45" s="170">
        <f t="shared" si="10"/>
        <v>13355745.900000006</v>
      </c>
      <c r="D45" s="170">
        <f t="shared" si="10"/>
        <v>21024488.240000002</v>
      </c>
      <c r="E45" s="170">
        <f>E38-E41-E42-E44</f>
        <v>36900000</v>
      </c>
      <c r="F45" s="170">
        <f>F38-F41-F42-F44</f>
        <v>91282845.56</v>
      </c>
      <c r="G45" s="170">
        <f t="shared" si="10"/>
        <v>29846747.269999996</v>
      </c>
      <c r="H45" s="170">
        <f t="shared" si="10"/>
        <v>41062812.05</v>
      </c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  <c r="CW45" s="155"/>
      <c r="CX45" s="155"/>
      <c r="CY45" s="155"/>
      <c r="CZ45" s="155"/>
      <c r="DA45" s="155"/>
      <c r="DB45" s="155"/>
      <c r="DC45" s="155"/>
      <c r="DD45" s="155"/>
      <c r="DE45" s="155"/>
      <c r="DF45" s="155"/>
      <c r="DG45" s="155"/>
      <c r="DH45" s="155"/>
      <c r="DI45" s="155"/>
      <c r="DJ45" s="155"/>
      <c r="DK45" s="155"/>
      <c r="DL45" s="155"/>
      <c r="DM45" s="155"/>
      <c r="DN45" s="155"/>
      <c r="DO45" s="155"/>
      <c r="DP45" s="155"/>
      <c r="DQ45" s="155"/>
      <c r="DR45" s="155"/>
      <c r="DS45" s="155"/>
      <c r="DT45" s="155"/>
      <c r="DU45" s="155"/>
      <c r="DV45" s="155"/>
      <c r="DW45" s="155"/>
      <c r="DX45" s="155"/>
      <c r="DY45" s="155"/>
      <c r="DZ45" s="155"/>
      <c r="EA45" s="155"/>
      <c r="EB45" s="155"/>
      <c r="EC45" s="155"/>
      <c r="ED45" s="155"/>
      <c r="EE45" s="155"/>
      <c r="EF45" s="155"/>
      <c r="EG45" s="155"/>
      <c r="EH45" s="155"/>
      <c r="EI45" s="155"/>
      <c r="EJ45" s="155"/>
      <c r="EK45" s="155"/>
      <c r="EL45" s="155"/>
      <c r="EM45" s="155"/>
      <c r="EN45" s="155"/>
      <c r="EO45" s="155"/>
      <c r="EP45" s="155"/>
      <c r="EQ45" s="155"/>
      <c r="ER45" s="155"/>
      <c r="ES45" s="155"/>
      <c r="ET45" s="155"/>
      <c r="EU45" s="155"/>
      <c r="EV45" s="155"/>
      <c r="EW45" s="155"/>
      <c r="EX45" s="155"/>
      <c r="EY45" s="155"/>
      <c r="EZ45" s="155"/>
      <c r="FA45" s="155"/>
      <c r="FB45" s="155"/>
      <c r="FC45" s="155"/>
      <c r="FD45" s="155"/>
      <c r="FE45" s="155"/>
      <c r="FF45" s="155"/>
      <c r="FG45" s="155"/>
      <c r="FH45" s="155"/>
      <c r="FI45" s="155"/>
      <c r="FJ45" s="155"/>
      <c r="FK45" s="155"/>
      <c r="FL45" s="155"/>
      <c r="FM45" s="155"/>
      <c r="FN45" s="155"/>
      <c r="FO45" s="155"/>
      <c r="FP45" s="155"/>
      <c r="FQ45" s="155"/>
      <c r="FR45" s="155"/>
      <c r="FS45" s="155"/>
      <c r="FT45" s="155"/>
      <c r="FU45" s="155"/>
      <c r="FV45" s="155"/>
      <c r="FW45" s="155"/>
      <c r="FX45" s="155"/>
      <c r="FY45" s="155"/>
      <c r="FZ45" s="155"/>
      <c r="GA45" s="155"/>
      <c r="GB45" s="155"/>
      <c r="GC45" s="155"/>
      <c r="GD45" s="155"/>
      <c r="GE45" s="155"/>
      <c r="GF45" s="155"/>
      <c r="GG45" s="155"/>
      <c r="GH45" s="155"/>
      <c r="GI45" s="155"/>
      <c r="GJ45" s="155"/>
      <c r="GK45" s="155"/>
      <c r="GL45" s="155"/>
      <c r="GM45" s="155"/>
      <c r="GN45" s="155"/>
      <c r="GO45" s="155"/>
      <c r="GP45" s="155"/>
      <c r="GQ45" s="155"/>
      <c r="GR45" s="155"/>
      <c r="GS45" s="155"/>
      <c r="GT45" s="155"/>
      <c r="GU45" s="155"/>
      <c r="GV45" s="155"/>
      <c r="GW45" s="155"/>
      <c r="GX45" s="155"/>
      <c r="GY45" s="155"/>
      <c r="GZ45" s="155"/>
      <c r="HA45" s="155"/>
      <c r="HB45" s="155"/>
      <c r="HC45" s="155"/>
      <c r="HD45" s="155"/>
      <c r="HE45" s="155"/>
      <c r="HF45" s="155"/>
      <c r="HG45" s="155"/>
      <c r="HH45" s="155"/>
      <c r="HI45" s="155"/>
      <c r="HJ45" s="155"/>
      <c r="HK45" s="155"/>
      <c r="HL45" s="155"/>
      <c r="HM45" s="155"/>
      <c r="HN45" s="155"/>
      <c r="HO45" s="155"/>
      <c r="HP45" s="155"/>
      <c r="HQ45" s="155"/>
      <c r="HR45" s="155"/>
      <c r="HS45" s="155"/>
      <c r="HT45" s="155"/>
      <c r="HU45" s="155"/>
      <c r="HV45" s="155"/>
      <c r="HW45" s="155"/>
      <c r="HX45" s="155"/>
      <c r="HY45" s="155"/>
      <c r="HZ45" s="155"/>
      <c r="IA45" s="155"/>
      <c r="IB45" s="155"/>
      <c r="IC45" s="155"/>
      <c r="ID45" s="155"/>
      <c r="IE45" s="155"/>
      <c r="IF45" s="155"/>
      <c r="IG45" s="155"/>
      <c r="IH45" s="155"/>
      <c r="II45" s="155"/>
      <c r="IJ45" s="155"/>
      <c r="IK45" s="155"/>
      <c r="IL45" s="155"/>
      <c r="IM45" s="155"/>
      <c r="IN45" s="155"/>
      <c r="IO45" s="155"/>
      <c r="IP45" s="155"/>
      <c r="IQ45" s="155"/>
      <c r="IR45" s="155"/>
      <c r="IS45" s="155"/>
      <c r="IT45" s="155"/>
      <c r="IU45" s="155"/>
    </row>
    <row r="46" spans="1:8" ht="12.75">
      <c r="A46" s="190" t="s">
        <v>404</v>
      </c>
      <c r="B46" s="170">
        <v>0</v>
      </c>
      <c r="C46" s="170">
        <v>0</v>
      </c>
      <c r="D46" s="170">
        <v>0</v>
      </c>
      <c r="E46" s="170">
        <v>0</v>
      </c>
      <c r="F46" s="170">
        <v>6820000</v>
      </c>
      <c r="G46" s="170">
        <v>3000000</v>
      </c>
      <c r="H46" s="170">
        <v>3050000</v>
      </c>
    </row>
    <row r="47" spans="1:8" ht="22.5" customHeight="1">
      <c r="A47" s="192" t="s">
        <v>348</v>
      </c>
      <c r="B47" s="193">
        <f aca="true" t="shared" si="11" ref="B47:H47">B37+B45+B46</f>
        <v>597696547.33</v>
      </c>
      <c r="C47" s="193">
        <f t="shared" si="11"/>
        <v>566262540.9899999</v>
      </c>
      <c r="D47" s="193">
        <f t="shared" si="11"/>
        <v>599990699.6600001</v>
      </c>
      <c r="E47" s="193">
        <f t="shared" si="11"/>
        <v>630245377.18</v>
      </c>
      <c r="F47" s="193">
        <f t="shared" si="11"/>
        <v>690664500</v>
      </c>
      <c r="G47" s="193">
        <f t="shared" si="11"/>
        <v>632704999.9974</v>
      </c>
      <c r="H47" s="193">
        <f t="shared" si="11"/>
        <v>652233300.0034089</v>
      </c>
    </row>
    <row r="48" spans="1:8" ht="12.75">
      <c r="A48" s="194"/>
      <c r="B48" s="195"/>
      <c r="C48" s="195"/>
      <c r="D48" s="195"/>
      <c r="E48" s="195"/>
      <c r="F48" s="195"/>
      <c r="G48" s="195"/>
      <c r="H48" s="196"/>
    </row>
    <row r="49" spans="1:8" ht="22.5">
      <c r="A49" s="192" t="s">
        <v>402</v>
      </c>
      <c r="B49" s="193"/>
      <c r="C49" s="193"/>
      <c r="D49" s="193">
        <f>7044753.52+534735.33</f>
        <v>7579488.85</v>
      </c>
      <c r="E49" s="193">
        <v>6878794.48</v>
      </c>
      <c r="F49" s="193"/>
      <c r="G49" s="193"/>
      <c r="H49" s="193"/>
    </row>
    <row r="50" spans="1:8" ht="12.75">
      <c r="A50" s="194"/>
      <c r="B50" s="195"/>
      <c r="C50" s="195"/>
      <c r="D50" s="195"/>
      <c r="E50" s="195"/>
      <c r="F50" s="195"/>
      <c r="G50" s="195"/>
      <c r="H50" s="196"/>
    </row>
    <row r="51" spans="1:8" ht="18" customHeight="1">
      <c r="A51" s="192" t="s">
        <v>403</v>
      </c>
      <c r="B51" s="193">
        <f>B30-B47</f>
        <v>4415604.579999924</v>
      </c>
      <c r="C51" s="193">
        <f>C30-C47</f>
        <v>42570577.30000019</v>
      </c>
      <c r="D51" s="193">
        <f>D30-D47-D49</f>
        <v>27238261.249999903</v>
      </c>
      <c r="E51" s="193">
        <f>E30-E47-E49</f>
        <v>8005614.110000033</v>
      </c>
      <c r="F51" s="193">
        <f>F30-F47-F49</f>
        <v>-3488518.5</v>
      </c>
      <c r="G51" s="193">
        <f>G30-G47-G49</f>
        <v>29224800.002599955</v>
      </c>
      <c r="H51" s="193">
        <f>H30-H47-H49</f>
        <v>31724569.99659109</v>
      </c>
    </row>
    <row r="52" spans="1:8" ht="12.75">
      <c r="A52" s="225"/>
      <c r="B52" s="184"/>
      <c r="C52" s="184"/>
      <c r="D52" s="184"/>
      <c r="E52" s="197"/>
      <c r="F52" s="184"/>
      <c r="G52" s="184"/>
      <c r="H52" s="184"/>
    </row>
    <row r="53" spans="1:8" ht="12.75">
      <c r="A53" s="225" t="s">
        <v>349</v>
      </c>
      <c r="B53" s="101"/>
      <c r="C53" s="101"/>
      <c r="D53" s="101"/>
      <c r="E53" s="198"/>
      <c r="F53" s="198"/>
      <c r="G53" s="101"/>
      <c r="H53" s="101"/>
    </row>
    <row r="54" spans="5:8" ht="12.75">
      <c r="E54" s="167"/>
      <c r="F54" s="167"/>
      <c r="G54" s="167"/>
      <c r="H54" s="167"/>
    </row>
    <row r="55" spans="5:8" ht="12.75">
      <c r="E55" s="167"/>
      <c r="F55" s="167"/>
      <c r="G55" s="167"/>
      <c r="H55" s="167"/>
    </row>
    <row r="56" spans="5:8" ht="12.75">
      <c r="E56" s="167"/>
      <c r="F56" s="167"/>
      <c r="G56" s="167"/>
      <c r="H56" s="167"/>
    </row>
  </sheetData>
  <sheetProtection/>
  <mergeCells count="4">
    <mergeCell ref="A1:H1"/>
    <mergeCell ref="A2:H2"/>
    <mergeCell ref="A3:H3"/>
    <mergeCell ref="A5:H5"/>
  </mergeCells>
  <printOptions horizontalCentered="1"/>
  <pageMargins left="0.3937007874015748" right="0.3937007874015748" top="0.5905511811023623" bottom="0.3937007874015748" header="0.31496062992125984" footer="0.5118110236220472"/>
  <pageSetup fitToHeight="0" orientation="landscape" paperSize="9" r:id="rId1"/>
  <headerFooter alignWithMargins="0">
    <oddHeader>&amp;C&amp;"-,Regular"&amp;12ANEXO XI</oddHeader>
  </headerFooter>
  <rowBreaks count="1" manualBreakCount="1">
    <brk id="2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15" sqref="A15"/>
    </sheetView>
  </sheetViews>
  <sheetFormatPr defaultColWidth="11.140625" defaultRowHeight="12.75"/>
  <cols>
    <col min="1" max="1" width="37.421875" style="2" customWidth="1"/>
    <col min="2" max="2" width="12.8515625" style="2" customWidth="1"/>
    <col min="3" max="3" width="11.8515625" style="2" customWidth="1"/>
    <col min="4" max="4" width="12.57421875" style="2" customWidth="1"/>
    <col min="5" max="5" width="13.00390625" style="2" customWidth="1"/>
    <col min="6" max="6" width="11.8515625" style="2" customWidth="1"/>
    <col min="7" max="7" width="13.140625" style="2" customWidth="1"/>
    <col min="8" max="8" width="12.7109375" style="2" customWidth="1"/>
    <col min="9" max="16384" width="11.140625" style="2" customWidth="1"/>
  </cols>
  <sheetData>
    <row r="1" spans="1:8" ht="12.75">
      <c r="A1" s="243" t="s">
        <v>221</v>
      </c>
      <c r="B1" s="243"/>
      <c r="C1" s="243"/>
      <c r="D1" s="243"/>
      <c r="E1" s="243"/>
      <c r="F1" s="243"/>
      <c r="G1" s="243"/>
      <c r="H1" s="243"/>
    </row>
    <row r="2" spans="1:8" ht="12.75">
      <c r="A2" s="243" t="s">
        <v>222</v>
      </c>
      <c r="B2" s="243"/>
      <c r="C2" s="243"/>
      <c r="D2" s="243"/>
      <c r="E2" s="243"/>
      <c r="F2" s="243"/>
      <c r="G2" s="243"/>
      <c r="H2" s="243"/>
    </row>
    <row r="3" spans="1:8" ht="12.75">
      <c r="A3" s="243">
        <v>2021</v>
      </c>
      <c r="B3" s="243"/>
      <c r="C3" s="243"/>
      <c r="D3" s="243"/>
      <c r="E3" s="243"/>
      <c r="F3" s="243"/>
      <c r="G3" s="243"/>
      <c r="H3" s="243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5">
      <c r="A5" s="245" t="s">
        <v>223</v>
      </c>
      <c r="B5" s="245"/>
      <c r="C5" s="245"/>
      <c r="D5" s="245"/>
      <c r="E5" s="245"/>
      <c r="F5" s="245"/>
      <c r="G5" s="245"/>
      <c r="H5" s="245"/>
    </row>
    <row r="6" ht="12.75">
      <c r="H6" s="8">
        <v>1</v>
      </c>
    </row>
    <row r="7" spans="1:8" ht="12.75">
      <c r="A7" s="281" t="s">
        <v>49</v>
      </c>
      <c r="B7" s="189">
        <v>2017</v>
      </c>
      <c r="C7" s="189">
        <v>2018</v>
      </c>
      <c r="D7" s="189">
        <v>2019</v>
      </c>
      <c r="E7" s="189">
        <v>2020</v>
      </c>
      <c r="F7" s="189">
        <v>2021</v>
      </c>
      <c r="G7" s="189">
        <v>2022</v>
      </c>
      <c r="H7" s="189">
        <v>2023</v>
      </c>
    </row>
    <row r="8" spans="1:8" ht="12.75">
      <c r="A8" s="281"/>
      <c r="B8" s="189" t="s">
        <v>224</v>
      </c>
      <c r="C8" s="189" t="s">
        <v>350</v>
      </c>
      <c r="D8" s="189" t="s">
        <v>225</v>
      </c>
      <c r="E8" s="189" t="s">
        <v>226</v>
      </c>
      <c r="F8" s="189" t="s">
        <v>227</v>
      </c>
      <c r="G8" s="189" t="s">
        <v>228</v>
      </c>
      <c r="H8" s="189" t="s">
        <v>229</v>
      </c>
    </row>
    <row r="9" spans="1:8" ht="18" customHeight="1">
      <c r="A9" s="190" t="s">
        <v>230</v>
      </c>
      <c r="B9" s="166">
        <v>141933572.9</v>
      </c>
      <c r="C9" s="166">
        <v>137458758.98</v>
      </c>
      <c r="D9" s="166">
        <v>135992827.66</v>
      </c>
      <c r="E9" s="166">
        <v>120778685.36</v>
      </c>
      <c r="F9" s="166">
        <v>108242508.13</v>
      </c>
      <c r="G9" s="166">
        <v>68942508.13</v>
      </c>
      <c r="H9" s="166">
        <v>66146508.13</v>
      </c>
    </row>
    <row r="10" spans="1:8" ht="18" customHeight="1">
      <c r="A10" s="190" t="s">
        <v>231</v>
      </c>
      <c r="B10" s="166">
        <f>B11+B12-B13</f>
        <v>78739805.74</v>
      </c>
      <c r="C10" s="166">
        <f>C11+C12-C13</f>
        <v>129412243.5</v>
      </c>
      <c r="D10" s="166">
        <f>D11+D12</f>
        <v>127516900.16</v>
      </c>
      <c r="E10" s="166">
        <f>E11+E12-E13</f>
        <v>127786143.35999998</v>
      </c>
      <c r="F10" s="166">
        <f>F11+F12-F13</f>
        <v>127240607.615</v>
      </c>
      <c r="G10" s="166">
        <f>G11+G12-G13</f>
        <v>127513375.4875</v>
      </c>
      <c r="H10" s="166">
        <f>H11+H12-H13</f>
        <v>127376991.55125</v>
      </c>
    </row>
    <row r="11" spans="1:8" ht="18" customHeight="1">
      <c r="A11" s="191" t="s">
        <v>232</v>
      </c>
      <c r="B11" s="166">
        <v>80108551.86</v>
      </c>
      <c r="C11" s="166">
        <v>130886127.54</v>
      </c>
      <c r="D11" s="166">
        <v>98720038.56</v>
      </c>
      <c r="E11" s="166">
        <v>97633827.63</v>
      </c>
      <c r="F11" s="166">
        <f>SUM(D11:E11)/2</f>
        <v>98176933.095</v>
      </c>
      <c r="G11" s="166">
        <f aca="true" t="shared" si="0" ref="G11:H13">SUM(E11:F11)/2</f>
        <v>97905380.3625</v>
      </c>
      <c r="H11" s="166">
        <f t="shared" si="0"/>
        <v>98041156.72874999</v>
      </c>
    </row>
    <row r="12" spans="1:8" ht="18" customHeight="1">
      <c r="A12" s="191" t="s">
        <v>233</v>
      </c>
      <c r="B12" s="166">
        <f>'[1]MONTANTE DA DÍVIDA PÚBLICA'!B13</f>
        <v>0</v>
      </c>
      <c r="C12" s="166">
        <f>'[1]MONTANTE DA DÍVIDA PÚBLICA'!C13</f>
        <v>0</v>
      </c>
      <c r="D12" s="166">
        <v>28796861.6</v>
      </c>
      <c r="E12" s="166">
        <v>30989638.24</v>
      </c>
      <c r="F12" s="166">
        <f>SUM(D12:E12)/2</f>
        <v>29893249.92</v>
      </c>
      <c r="G12" s="166">
        <f t="shared" si="0"/>
        <v>30441444.08</v>
      </c>
      <c r="H12" s="166">
        <f t="shared" si="0"/>
        <v>30167347</v>
      </c>
    </row>
    <row r="13" spans="1:8" ht="18" customHeight="1">
      <c r="A13" s="191" t="s">
        <v>234</v>
      </c>
      <c r="B13" s="166">
        <v>1368746.12</v>
      </c>
      <c r="C13" s="166">
        <v>1473884.04</v>
      </c>
      <c r="D13" s="166">
        <v>821828.29</v>
      </c>
      <c r="E13" s="166">
        <v>837322.51</v>
      </c>
      <c r="F13" s="166">
        <f>SUM(D13:E13)/2</f>
        <v>829575.4</v>
      </c>
      <c r="G13" s="166">
        <f t="shared" si="0"/>
        <v>833448.9550000001</v>
      </c>
      <c r="H13" s="166">
        <f t="shared" si="0"/>
        <v>831512.1775</v>
      </c>
    </row>
    <row r="14" spans="1:8" ht="18" customHeight="1">
      <c r="A14" s="190" t="s">
        <v>235</v>
      </c>
      <c r="B14" s="166"/>
      <c r="C14" s="166"/>
      <c r="D14" s="166"/>
      <c r="E14" s="166"/>
      <c r="F14" s="166"/>
      <c r="G14" s="166"/>
      <c r="H14" s="166"/>
    </row>
    <row r="15" spans="1:8" ht="18" customHeight="1">
      <c r="A15" s="190" t="s">
        <v>236</v>
      </c>
      <c r="B15" s="166">
        <f aca="true" t="shared" si="1" ref="B15:H15">B9-B10</f>
        <v>63193767.16000001</v>
      </c>
      <c r="C15" s="166">
        <f t="shared" si="1"/>
        <v>8046515.479999989</v>
      </c>
      <c r="D15" s="166">
        <f t="shared" si="1"/>
        <v>8475927.5</v>
      </c>
      <c r="E15" s="166">
        <f t="shared" si="1"/>
        <v>-7007457.999999985</v>
      </c>
      <c r="F15" s="166">
        <f t="shared" si="1"/>
        <v>-18998099.485</v>
      </c>
      <c r="G15" s="166">
        <f t="shared" si="1"/>
        <v>-58570867.3575</v>
      </c>
      <c r="H15" s="166">
        <f t="shared" si="1"/>
        <v>-61230483.42124999</v>
      </c>
    </row>
    <row r="16" spans="1:8" ht="18" customHeight="1">
      <c r="A16" s="190" t="s">
        <v>237</v>
      </c>
      <c r="B16" s="166">
        <v>0</v>
      </c>
      <c r="C16" s="166">
        <v>0</v>
      </c>
      <c r="D16" s="166">
        <v>0</v>
      </c>
      <c r="E16" s="166">
        <v>0</v>
      </c>
      <c r="F16" s="166">
        <v>0</v>
      </c>
      <c r="G16" s="166">
        <v>0</v>
      </c>
      <c r="H16" s="166">
        <v>0</v>
      </c>
    </row>
    <row r="17" spans="1:8" ht="18" customHeight="1">
      <c r="A17" s="190" t="s">
        <v>238</v>
      </c>
      <c r="B17" s="166">
        <v>0</v>
      </c>
      <c r="C17" s="166">
        <v>0</v>
      </c>
      <c r="D17" s="166">
        <v>0</v>
      </c>
      <c r="E17" s="166">
        <v>0</v>
      </c>
      <c r="F17" s="166">
        <v>0</v>
      </c>
      <c r="G17" s="166">
        <v>0</v>
      </c>
      <c r="H17" s="166">
        <v>0</v>
      </c>
    </row>
    <row r="18" spans="1:8" ht="18" customHeight="1">
      <c r="A18" s="190" t="s">
        <v>239</v>
      </c>
      <c r="B18" s="166">
        <f aca="true" t="shared" si="2" ref="B18:H18">B15+B16-B17</f>
        <v>63193767.16000001</v>
      </c>
      <c r="C18" s="166">
        <f t="shared" si="2"/>
        <v>8046515.479999989</v>
      </c>
      <c r="D18" s="166">
        <f t="shared" si="2"/>
        <v>8475927.5</v>
      </c>
      <c r="E18" s="166">
        <f t="shared" si="2"/>
        <v>-7007457.999999985</v>
      </c>
      <c r="F18" s="166">
        <f t="shared" si="2"/>
        <v>-18998099.485</v>
      </c>
      <c r="G18" s="166">
        <f t="shared" si="2"/>
        <v>-58570867.3575</v>
      </c>
      <c r="H18" s="166">
        <f t="shared" si="2"/>
        <v>-61230483.42124999</v>
      </c>
    </row>
    <row r="19" spans="1:8" ht="12.75">
      <c r="A19" s="199"/>
      <c r="B19" s="200"/>
      <c r="C19" s="200"/>
      <c r="D19" s="200"/>
      <c r="E19" s="200"/>
      <c r="F19" s="200"/>
      <c r="G19" s="200"/>
      <c r="H19" s="201"/>
    </row>
    <row r="20" spans="1:8" ht="15" customHeight="1">
      <c r="A20" s="282" t="s">
        <v>240</v>
      </c>
      <c r="B20" s="202" t="s">
        <v>241</v>
      </c>
      <c r="C20" s="202" t="s">
        <v>400</v>
      </c>
      <c r="D20" s="202" t="s">
        <v>401</v>
      </c>
      <c r="E20" s="202" t="s">
        <v>242</v>
      </c>
      <c r="F20" s="202" t="s">
        <v>243</v>
      </c>
      <c r="G20" s="202" t="s">
        <v>244</v>
      </c>
      <c r="H20" s="202" t="s">
        <v>245</v>
      </c>
    </row>
    <row r="21" spans="1:8" ht="15" customHeight="1">
      <c r="A21" s="282"/>
      <c r="B21" s="170">
        <f>B18--73823196.6</f>
        <v>137016963.76</v>
      </c>
      <c r="C21" s="170">
        <f>B18-C18</f>
        <v>55147251.68000002</v>
      </c>
      <c r="D21" s="170">
        <f>C18-D18</f>
        <v>-429412.0200000107</v>
      </c>
      <c r="E21" s="170">
        <f>D18-E18</f>
        <v>15483385.499999985</v>
      </c>
      <c r="F21" s="170">
        <f>F18-E18</f>
        <v>-11990641.485000014</v>
      </c>
      <c r="G21" s="170">
        <f>G18-F18</f>
        <v>-39572767.8725</v>
      </c>
      <c r="H21" s="170">
        <f>H18-G18</f>
        <v>-2659616.0637499914</v>
      </c>
    </row>
    <row r="22" spans="1:8" ht="12.75">
      <c r="A22" s="101"/>
      <c r="B22" s="101"/>
      <c r="C22" s="101"/>
      <c r="D22" s="101"/>
      <c r="E22" s="101"/>
      <c r="F22" s="101"/>
      <c r="G22" s="101"/>
      <c r="H22" s="101"/>
    </row>
    <row r="23" spans="1:8" ht="12.75">
      <c r="A23" s="203" t="s">
        <v>351</v>
      </c>
      <c r="B23" s="189">
        <v>2017</v>
      </c>
      <c r="C23" s="189">
        <v>2018</v>
      </c>
      <c r="D23" s="189">
        <v>2019</v>
      </c>
      <c r="E23" s="189">
        <v>2020</v>
      </c>
      <c r="F23" s="189">
        <v>2021</v>
      </c>
      <c r="G23" s="189">
        <v>2022</v>
      </c>
      <c r="H23" s="189">
        <v>2023</v>
      </c>
    </row>
    <row r="24" spans="1:8" ht="12.75">
      <c r="A24" s="204" t="s">
        <v>352</v>
      </c>
      <c r="B24" s="205"/>
      <c r="C24" s="205"/>
      <c r="D24" s="206">
        <f>'Anexo XI Resultado Primário'!D15</f>
        <v>41752892.05</v>
      </c>
      <c r="E24" s="206">
        <v>17815529.91</v>
      </c>
      <c r="F24" s="206">
        <f>E24*1.0375</f>
        <v>18483612.281625003</v>
      </c>
      <c r="G24" s="206">
        <f>F24*1.0375</f>
        <v>19176747.742185943</v>
      </c>
      <c r="H24" s="206">
        <f>G24*1.0325</f>
        <v>19799992.043806985</v>
      </c>
    </row>
    <row r="25" spans="1:8" ht="12.75">
      <c r="A25" s="204" t="s">
        <v>353</v>
      </c>
      <c r="B25" s="205"/>
      <c r="C25" s="205"/>
      <c r="D25" s="206">
        <v>0</v>
      </c>
      <c r="E25" s="206">
        <v>5654281.1</v>
      </c>
      <c r="F25" s="206">
        <f>E25*1.0375</f>
        <v>5866316.64125</v>
      </c>
      <c r="G25" s="206">
        <f>F25*1.0375</f>
        <v>6086303.5152968755</v>
      </c>
      <c r="H25" s="206">
        <f>G25*1.0325</f>
        <v>6284108.379544023</v>
      </c>
    </row>
    <row r="26" spans="1:8" ht="12.75">
      <c r="A26" s="207"/>
      <c r="B26" s="208"/>
      <c r="C26" s="208"/>
      <c r="D26" s="208"/>
      <c r="E26" s="209"/>
      <c r="F26" s="208"/>
      <c r="G26" s="208"/>
      <c r="H26" s="208"/>
    </row>
    <row r="27" spans="1:8" ht="12.75">
      <c r="A27" s="204" t="s">
        <v>354</v>
      </c>
      <c r="B27" s="205"/>
      <c r="C27" s="205"/>
      <c r="D27" s="206">
        <f>'Anexo XI Resultado Primário'!D51+'Anexo XI Resultado Primário'!D15</f>
        <v>68991153.2999999</v>
      </c>
      <c r="E27" s="206">
        <f>'Anexo XI Resultado Primário'!E51+(E24-E25)</f>
        <v>20166862.92000003</v>
      </c>
      <c r="F27" s="206">
        <f>'Anexo XI Resultado Primário'!F51+(F24-F25)</f>
        <v>9128777.140375003</v>
      </c>
      <c r="G27" s="206">
        <f>'Anexo XI Resultado Primário'!G51+(G24-G25)</f>
        <v>42315244.22948902</v>
      </c>
      <c r="H27" s="206">
        <f>'Anexo XI Resultado Primário'!H51+(H24-H25)</f>
        <v>45240453.66085406</v>
      </c>
    </row>
    <row r="28" spans="1:8" ht="12.75">
      <c r="A28" s="207"/>
      <c r="B28" s="208"/>
      <c r="C28" s="208"/>
      <c r="D28" s="208"/>
      <c r="E28" s="209"/>
      <c r="F28" s="208"/>
      <c r="G28" s="208"/>
      <c r="H28" s="208"/>
    </row>
    <row r="29" spans="1:8" ht="12.75">
      <c r="A29" s="204" t="s">
        <v>355</v>
      </c>
      <c r="B29" s="205"/>
      <c r="C29" s="205"/>
      <c r="D29" s="206">
        <f>D21-D32</f>
        <v>-1081467.7700000107</v>
      </c>
      <c r="E29" s="206">
        <f>E21-E32</f>
        <v>15498879.719999986</v>
      </c>
      <c r="F29" s="206">
        <f>F21-F32</f>
        <v>-11998388.595000014</v>
      </c>
      <c r="G29" s="206">
        <f>G21-G32</f>
        <v>-39568894.3175</v>
      </c>
      <c r="H29" s="206">
        <f>H21-H32</f>
        <v>-2661552.841249991</v>
      </c>
    </row>
    <row r="30" spans="1:8" ht="12.75">
      <c r="A30" s="207"/>
      <c r="B30" s="208"/>
      <c r="C30" s="208"/>
      <c r="D30" s="208"/>
      <c r="E30" s="208"/>
      <c r="F30" s="209"/>
      <c r="G30" s="208"/>
      <c r="H30" s="208"/>
    </row>
    <row r="31" spans="1:8" ht="12.75">
      <c r="A31" s="203" t="s">
        <v>356</v>
      </c>
      <c r="B31" s="189">
        <v>2017</v>
      </c>
      <c r="C31" s="189">
        <v>2018</v>
      </c>
      <c r="D31" s="189">
        <v>2019</v>
      </c>
      <c r="E31" s="189">
        <v>2020</v>
      </c>
      <c r="F31" s="189">
        <v>2021</v>
      </c>
      <c r="G31" s="189">
        <v>2022</v>
      </c>
      <c r="H31" s="189">
        <v>2023</v>
      </c>
    </row>
    <row r="32" spans="1:8" ht="12.75">
      <c r="A32" s="204" t="s">
        <v>357</v>
      </c>
      <c r="B32" s="205"/>
      <c r="C32" s="205"/>
      <c r="D32" s="206">
        <f>C13-D13</f>
        <v>652055.75</v>
      </c>
      <c r="E32" s="206">
        <f>D13-E13</f>
        <v>-15494.219999999972</v>
      </c>
      <c r="F32" s="206">
        <f>E13-F13</f>
        <v>7747.109999999986</v>
      </c>
      <c r="G32" s="206">
        <f>F13-G13</f>
        <v>-3873.555000000051</v>
      </c>
      <c r="H32" s="206">
        <f>G13-H13</f>
        <v>1936.7775000000838</v>
      </c>
    </row>
    <row r="33" spans="1:8" ht="12.75">
      <c r="A33" s="204" t="s">
        <v>358</v>
      </c>
      <c r="B33" s="205"/>
      <c r="C33" s="205"/>
      <c r="D33" s="206">
        <f>D29</f>
        <v>-1081467.7700000107</v>
      </c>
      <c r="E33" s="206">
        <f>E29</f>
        <v>15498879.719999986</v>
      </c>
      <c r="F33" s="206">
        <f>F29</f>
        <v>-11998388.595000014</v>
      </c>
      <c r="G33" s="206">
        <f>G29</f>
        <v>-39568894.3175</v>
      </c>
      <c r="H33" s="206">
        <f>H29</f>
        <v>-2661552.841249991</v>
      </c>
    </row>
    <row r="34" spans="1:8" ht="12.75">
      <c r="A34" s="207"/>
      <c r="B34" s="208"/>
      <c r="C34" s="208"/>
      <c r="D34" s="208"/>
      <c r="E34" s="208"/>
      <c r="F34" s="209"/>
      <c r="G34" s="208"/>
      <c r="H34" s="208"/>
    </row>
    <row r="35" spans="1:8" ht="12.75">
      <c r="A35" s="204" t="s">
        <v>359</v>
      </c>
      <c r="B35" s="205"/>
      <c r="C35" s="205"/>
      <c r="D35" s="206">
        <f>D33-(D24-D25)</f>
        <v>-42834359.82000001</v>
      </c>
      <c r="E35" s="206">
        <f>E33-(E24-E25)</f>
        <v>3337630.9099999852</v>
      </c>
      <c r="F35" s="206">
        <f>F33-(F24-F25)</f>
        <v>-24615684.235375017</v>
      </c>
      <c r="G35" s="206">
        <f>G33-(G24-G25)</f>
        <v>-52659338.54438907</v>
      </c>
      <c r="H35" s="206">
        <f>H33-(H24-H25)</f>
        <v>-16177436.505512953</v>
      </c>
    </row>
    <row r="36" spans="1:8" ht="12.75">
      <c r="A36" s="280" t="s">
        <v>349</v>
      </c>
      <c r="B36" s="280"/>
      <c r="C36" s="280"/>
      <c r="D36" s="280"/>
      <c r="E36" s="280"/>
      <c r="F36" s="280"/>
      <c r="G36" s="280"/>
      <c r="H36" s="280"/>
    </row>
  </sheetData>
  <sheetProtection/>
  <mergeCells count="7">
    <mergeCell ref="A36:H36"/>
    <mergeCell ref="A1:H1"/>
    <mergeCell ref="A2:H2"/>
    <mergeCell ref="A3:H3"/>
    <mergeCell ref="A5:H5"/>
    <mergeCell ref="A7:A8"/>
    <mergeCell ref="A20:A21"/>
  </mergeCells>
  <printOptions horizontalCentered="1"/>
  <pageMargins left="0.3937007874015748" right="0.3937007874015748" top="0.5905511811023623" bottom="0.3937007874015748" header="0.31496062992125984" footer="0.5118110236220472"/>
  <pageSetup fitToHeight="0" orientation="landscape" paperSize="9" r:id="rId1"/>
  <headerFooter alignWithMargins="0">
    <oddHeader>&amp;C&amp;"-,Regular"&amp;12ANEXO XII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PMSM PM</dc:creator>
  <cp:keywords/>
  <dc:description/>
  <cp:lastModifiedBy>dirlegis3</cp:lastModifiedBy>
  <cp:lastPrinted>2020-12-28T17:07:37Z</cp:lastPrinted>
  <dcterms:created xsi:type="dcterms:W3CDTF">2008-10-29T12:57:47Z</dcterms:created>
  <dcterms:modified xsi:type="dcterms:W3CDTF">2020-12-30T12:19:18Z</dcterms:modified>
  <cp:category/>
  <cp:version/>
  <cp:contentType/>
  <cp:contentStatus/>
  <cp:revision>1</cp:revision>
</cp:coreProperties>
</file>