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660" windowWidth="15480" windowHeight="7530" tabRatio="196"/>
  </bookViews>
  <sheets>
    <sheet name="Planilha1" sheetId="1" r:id="rId1"/>
    <sheet name="Planilha2" sheetId="2" r:id="rId2"/>
    <sheet name="Planilha3" sheetId="3" r:id="rId3"/>
  </sheets>
  <definedNames>
    <definedName name="_xlnm.Print_Area" localSheetId="0">Planilha1!$A$1:$BS$54</definedName>
    <definedName name="Excel_BuiltIn_Print_Area_1">Planilha1!$A$1:$BS$53</definedName>
    <definedName name="Excel_BuiltIn_Print_Titles_1_1">Planilha1!$A:$A</definedName>
    <definedName name="_xlnm.Print_Titles" localSheetId="0">Planilha1!$A:$A</definedName>
  </definedNames>
  <calcPr calcId="145621"/>
</workbook>
</file>

<file path=xl/calcChain.xml><?xml version="1.0" encoding="utf-8"?>
<calcChain xmlns="http://schemas.openxmlformats.org/spreadsheetml/2006/main">
  <c r="BS44" i="1" l="1"/>
  <c r="AU44" i="1"/>
  <c r="AU43" i="1"/>
  <c r="AM44" i="1"/>
  <c r="AM43" i="1"/>
  <c r="AI44" i="1"/>
  <c r="AI43" i="1"/>
  <c r="AI41" i="1"/>
  <c r="AI40" i="1"/>
  <c r="BS53" i="1"/>
  <c r="AR53" i="1"/>
  <c r="AM53" i="1"/>
  <c r="AM34" i="1"/>
  <c r="AF34" i="1"/>
  <c r="AF44" i="1"/>
  <c r="AF43" i="1"/>
  <c r="AB44" i="1"/>
  <c r="AB43" i="1"/>
  <c r="AI45" i="1"/>
  <c r="AI54" i="1"/>
  <c r="AG45" i="1"/>
  <c r="BS34" i="1" l="1"/>
  <c r="BP34" i="1"/>
  <c r="BS33" i="1"/>
  <c r="F34" i="1"/>
  <c r="AI35" i="1"/>
  <c r="AG34" i="1"/>
  <c r="BP33" i="1"/>
  <c r="AY34" i="1"/>
  <c r="BG33" i="1"/>
  <c r="AM30" i="1"/>
  <c r="AU34" i="1"/>
  <c r="AU30" i="1"/>
  <c r="AU33" i="1"/>
  <c r="AM33" i="1"/>
  <c r="AM31" i="1"/>
  <c r="AF31" i="1"/>
  <c r="AA31" i="1"/>
  <c r="AA33" i="1" s="1"/>
  <c r="AA34" i="1" s="1"/>
  <c r="AI31" i="1"/>
  <c r="AF30" i="1"/>
  <c r="AI30" i="1"/>
  <c r="AC30" i="1"/>
  <c r="AH30" i="1"/>
  <c r="AB34" i="1"/>
  <c r="AB33" i="1"/>
  <c r="AI53" i="1"/>
  <c r="AG53" i="1"/>
  <c r="AF52" i="1"/>
  <c r="AF53" i="1"/>
  <c r="AB53" i="1"/>
  <c r="AA53" i="1"/>
  <c r="AI52" i="1"/>
  <c r="AI51" i="1"/>
  <c r="AI21" i="1"/>
  <c r="AI20" i="1"/>
  <c r="AI5" i="1"/>
  <c r="AK21" i="1"/>
  <c r="AK20" i="1"/>
  <c r="AK5" i="1"/>
  <c r="AD5" i="1"/>
  <c r="AD21" i="1"/>
  <c r="AD20" i="1"/>
  <c r="BN5" i="1"/>
  <c r="Y5" i="1"/>
  <c r="AM50" i="1"/>
  <c r="AI50" i="1"/>
  <c r="AF50" i="1"/>
  <c r="AA50" i="1"/>
  <c r="AU6" i="1"/>
  <c r="AI6" i="1"/>
  <c r="AM6" i="1"/>
  <c r="AI7" i="1"/>
  <c r="AM23" i="1"/>
  <c r="AM22" i="1"/>
  <c r="AM19" i="1"/>
  <c r="AM18" i="1"/>
  <c r="AM17" i="1"/>
  <c r="AM16" i="1"/>
  <c r="AM15" i="1"/>
  <c r="AM14" i="1"/>
  <c r="AM13" i="1"/>
  <c r="AM12" i="1"/>
  <c r="AM11" i="1"/>
  <c r="AM10" i="1"/>
  <c r="AM9" i="1"/>
  <c r="AM7" i="1"/>
  <c r="AM8" i="1"/>
  <c r="AI23" i="1"/>
  <c r="AI22" i="1"/>
  <c r="AI8" i="1"/>
  <c r="AI9" i="1"/>
  <c r="AI10" i="1"/>
  <c r="AI11" i="1"/>
  <c r="AI12" i="1"/>
  <c r="AI13" i="1"/>
  <c r="AI14" i="1"/>
  <c r="AI15" i="1"/>
  <c r="AI16" i="1"/>
  <c r="AI17" i="1"/>
  <c r="AI18" i="1"/>
  <c r="AI19" i="1"/>
  <c r="AF22" i="1"/>
  <c r="AF19" i="1"/>
  <c r="AF17" i="1"/>
  <c r="AF15" i="1"/>
  <c r="AF13" i="1"/>
  <c r="AF12" i="1"/>
  <c r="AF11" i="1"/>
  <c r="AF10" i="1"/>
  <c r="AF9" i="1"/>
  <c r="AF8" i="1"/>
  <c r="AF6" i="1"/>
  <c r="AA22" i="1"/>
  <c r="AA19" i="1"/>
  <c r="AA17" i="1"/>
  <c r="AA16" i="1"/>
  <c r="AA15" i="1"/>
  <c r="AA13" i="1"/>
  <c r="AA12" i="1"/>
  <c r="AA11" i="1"/>
  <c r="AA10" i="1"/>
  <c r="AA9" i="1"/>
  <c r="AA8" i="1"/>
  <c r="AA6" i="1"/>
  <c r="AA7" i="1"/>
  <c r="AC31" i="1" l="1"/>
  <c r="X54" i="1"/>
  <c r="X45" i="1"/>
  <c r="X35" i="1"/>
  <c r="X44" i="1"/>
  <c r="X41" i="1"/>
  <c r="X40" i="1"/>
  <c r="R40" i="1"/>
  <c r="J31" i="1"/>
  <c r="U31" i="1"/>
  <c r="P31" i="1"/>
  <c r="X31" i="1"/>
  <c r="AA30" i="1"/>
  <c r="X30" i="1"/>
  <c r="U30" i="1"/>
  <c r="V34" i="1"/>
  <c r="Q34" i="1"/>
  <c r="X33" i="1"/>
  <c r="X34" i="1" s="1"/>
  <c r="V33" i="1"/>
  <c r="P33" i="1"/>
  <c r="P34" i="1" s="1"/>
  <c r="Q33" i="1"/>
  <c r="M35" i="1"/>
  <c r="P50" i="1"/>
  <c r="P52" i="1"/>
  <c r="P53" i="1" s="1"/>
  <c r="X53" i="1"/>
  <c r="X52" i="1"/>
  <c r="X51" i="1"/>
  <c r="X50" i="1"/>
  <c r="V53" i="1"/>
  <c r="V52" i="1"/>
  <c r="Q53" i="1"/>
  <c r="Q52" i="1"/>
  <c r="X21" i="1"/>
  <c r="X20" i="1"/>
  <c r="X5" i="1"/>
  <c r="Y21" i="1"/>
  <c r="Y20" i="1"/>
  <c r="S5" i="1"/>
  <c r="T24" i="1"/>
  <c r="S21" i="1"/>
  <c r="S20" i="1"/>
  <c r="U11" i="1"/>
  <c r="U10" i="1"/>
  <c r="U9" i="1"/>
  <c r="U8" i="1"/>
  <c r="U22" i="1"/>
  <c r="U17" i="1"/>
  <c r="U15" i="1"/>
  <c r="U14" i="1"/>
  <c r="U13" i="1"/>
  <c r="U12" i="1"/>
  <c r="U7" i="1"/>
  <c r="U6" i="1"/>
  <c r="W6" i="1" s="1"/>
  <c r="X18" i="1"/>
  <c r="X6" i="1"/>
  <c r="AA23" i="1"/>
  <c r="AA18" i="1"/>
  <c r="X23" i="1"/>
  <c r="X22" i="1"/>
  <c r="X7" i="1"/>
  <c r="X8" i="1"/>
  <c r="X9" i="1"/>
  <c r="X10" i="1"/>
  <c r="X11" i="1"/>
  <c r="X12" i="1"/>
  <c r="X13" i="1"/>
  <c r="X14" i="1"/>
  <c r="X15" i="1"/>
  <c r="X16" i="1"/>
  <c r="X17" i="1"/>
  <c r="X19" i="1"/>
  <c r="BP11" i="1"/>
  <c r="R11" i="1"/>
  <c r="P11" i="1"/>
  <c r="M11" i="1"/>
  <c r="J11" i="1"/>
  <c r="W11" i="1" l="1"/>
  <c r="U23" i="1"/>
  <c r="U19" i="1"/>
  <c r="U18" i="1"/>
  <c r="U16" i="1"/>
  <c r="R6" i="1"/>
  <c r="P23" i="1"/>
  <c r="P22" i="1"/>
  <c r="P19" i="1"/>
  <c r="P18" i="1"/>
  <c r="P17" i="1"/>
  <c r="P16" i="1"/>
  <c r="P15" i="1"/>
  <c r="P14" i="1"/>
  <c r="P13" i="1"/>
  <c r="P12" i="1"/>
  <c r="P10" i="1"/>
  <c r="P9" i="1"/>
  <c r="P8" i="1"/>
  <c r="P7" i="1"/>
  <c r="P6" i="1"/>
  <c r="BD17" i="1" l="1"/>
  <c r="M44" i="1" l="1"/>
  <c r="P40" i="1"/>
  <c r="M45" i="1"/>
  <c r="J52" i="1"/>
  <c r="M31" i="1"/>
  <c r="E31" i="1"/>
  <c r="F44" i="1" l="1"/>
  <c r="E41" i="1"/>
  <c r="E43" i="1" s="1"/>
  <c r="E44" i="1" s="1"/>
  <c r="M43" i="1"/>
  <c r="M41" i="1"/>
  <c r="M40" i="1"/>
  <c r="P30" i="1"/>
  <c r="J30" i="1"/>
  <c r="J33" i="1" s="1"/>
  <c r="J34" i="1" s="1"/>
  <c r="P24" i="1"/>
  <c r="P51" i="1" s="1"/>
  <c r="M34" i="1"/>
  <c r="M33" i="1"/>
  <c r="M30" i="1"/>
  <c r="K34" i="1"/>
  <c r="K33" i="1"/>
  <c r="F33" i="1"/>
  <c r="E33" i="1"/>
  <c r="F53" i="1"/>
  <c r="K53" i="1" s="1"/>
  <c r="P41" i="1" l="1"/>
  <c r="M54" i="1"/>
  <c r="M53" i="1"/>
  <c r="M52" i="1"/>
  <c r="M51" i="1"/>
  <c r="M50" i="1"/>
  <c r="J50" i="1"/>
  <c r="L50" i="1" s="1"/>
  <c r="E50" i="1"/>
  <c r="E52" i="1" s="1"/>
  <c r="E53" i="1" s="1"/>
  <c r="F52" i="1"/>
  <c r="G51" i="1"/>
  <c r="M25" i="1"/>
  <c r="M21" i="1"/>
  <c r="N21" i="1"/>
  <c r="H21" i="1"/>
  <c r="C21" i="1"/>
  <c r="BN21" i="1"/>
  <c r="N20" i="1"/>
  <c r="M20" i="1"/>
  <c r="H20" i="1"/>
  <c r="C20" i="1"/>
  <c r="BN20" i="1"/>
  <c r="N5" i="1"/>
  <c r="M5" i="1"/>
  <c r="H5" i="1"/>
  <c r="C5" i="1"/>
  <c r="M23" i="1"/>
  <c r="M22" i="1"/>
  <c r="M7" i="1"/>
  <c r="M8" i="1"/>
  <c r="M9" i="1"/>
  <c r="M10" i="1"/>
  <c r="M12" i="1"/>
  <c r="M13" i="1"/>
  <c r="M14" i="1"/>
  <c r="M15" i="1"/>
  <c r="M16" i="1"/>
  <c r="M17" i="1"/>
  <c r="M18" i="1"/>
  <c r="M19" i="1"/>
  <c r="M6" i="1"/>
  <c r="J23" i="1"/>
  <c r="J19" i="1"/>
  <c r="J17" i="1"/>
  <c r="J16" i="1"/>
  <c r="J15" i="1"/>
  <c r="J14" i="1"/>
  <c r="J13" i="1"/>
  <c r="J10" i="1"/>
  <c r="J9" i="1"/>
  <c r="J6" i="1"/>
  <c r="E14" i="1"/>
  <c r="J22" i="1"/>
  <c r="J18" i="1"/>
  <c r="J12" i="1"/>
  <c r="J8" i="1"/>
  <c r="J7" i="1"/>
  <c r="E23" i="1"/>
  <c r="E22" i="1"/>
  <c r="E19" i="1"/>
  <c r="E18" i="1"/>
  <c r="E17" i="1"/>
  <c r="E16" i="1"/>
  <c r="E15" i="1"/>
  <c r="E13" i="1"/>
  <c r="E12" i="1"/>
  <c r="E11" i="1"/>
  <c r="E10" i="1"/>
  <c r="E8" i="1"/>
  <c r="E7" i="1"/>
  <c r="E6" i="1"/>
  <c r="P43" i="1" l="1"/>
  <c r="P44" i="1" s="1"/>
  <c r="BS42" i="1"/>
  <c r="BG40" i="1"/>
  <c r="AR43" i="1"/>
  <c r="B44" i="1"/>
  <c r="B42" i="1"/>
  <c r="B41" i="1"/>
  <c r="B40" i="1"/>
  <c r="E40" i="1"/>
  <c r="BK33" i="1"/>
  <c r="BD33" i="1"/>
  <c r="AY33" i="1"/>
  <c r="BG31" i="1"/>
  <c r="B31" i="1"/>
  <c r="BS30" i="1"/>
  <c r="BG30" i="1"/>
  <c r="BS54" i="1" l="1"/>
  <c r="BK52" i="1"/>
  <c r="AU50" i="1"/>
  <c r="BG50" i="1"/>
  <c r="BG21" i="1"/>
  <c r="BG20" i="1"/>
  <c r="BG23" i="1"/>
  <c r="BG22" i="1"/>
  <c r="AU23" i="1"/>
  <c r="AU22" i="1"/>
  <c r="AU21" i="1"/>
  <c r="AU20" i="1"/>
  <c r="AU7" i="1"/>
  <c r="AU8" i="1"/>
  <c r="AU9" i="1"/>
  <c r="AU10" i="1"/>
  <c r="AU11" i="1"/>
  <c r="AU12" i="1"/>
  <c r="AU13" i="1"/>
  <c r="AU14" i="1"/>
  <c r="AU15" i="1"/>
  <c r="AU16" i="1"/>
  <c r="AU17" i="1"/>
  <c r="AU18" i="1"/>
  <c r="AU19" i="1"/>
  <c r="AU5" i="1"/>
  <c r="BA5" i="1"/>
  <c r="BA6" i="1"/>
  <c r="X24" i="1" l="1"/>
  <c r="Q45" i="1"/>
  <c r="Q40" i="1"/>
  <c r="E36" i="1"/>
  <c r="BF30" i="1" l="1"/>
  <c r="AN40" i="1" l="1"/>
  <c r="AS40" i="1"/>
  <c r="G21" i="1" l="1"/>
  <c r="L21" i="1" s="1"/>
  <c r="R21" i="1" s="1"/>
  <c r="W21" i="1" s="1"/>
  <c r="AC21" i="1" s="1"/>
  <c r="AH21" i="1" s="1"/>
  <c r="AO21" i="1" s="1"/>
  <c r="AT21" i="1" s="1"/>
  <c r="BA21" i="1" s="1"/>
  <c r="BF21" i="1" s="1"/>
  <c r="G20" i="1"/>
  <c r="L20" i="1" s="1"/>
  <c r="R20" i="1" s="1"/>
  <c r="W20" i="1" s="1"/>
  <c r="AC20" i="1" s="1"/>
  <c r="AH20" i="1" s="1"/>
  <c r="AO20" i="1" s="1"/>
  <c r="AT20" i="1" s="1"/>
  <c r="BA20" i="1" s="1"/>
  <c r="BF20" i="1" s="1"/>
  <c r="G5" i="1"/>
  <c r="G50" i="1" l="1"/>
  <c r="J53" i="1" s="1"/>
  <c r="BT23" i="1"/>
  <c r="G6" i="1"/>
  <c r="B32" i="1" l="1"/>
  <c r="BS32" i="1" s="1"/>
  <c r="D24" i="1"/>
  <c r="D31" i="1" s="1"/>
  <c r="E24" i="1"/>
  <c r="F24" i="1"/>
  <c r="H24" i="1"/>
  <c r="I24" i="1"/>
  <c r="K24" i="1"/>
  <c r="O24" i="1"/>
  <c r="Q24" i="1"/>
  <c r="V24" i="1"/>
  <c r="Z24" i="1"/>
  <c r="AB24" i="1"/>
  <c r="AE24" i="1"/>
  <c r="AG24" i="1"/>
  <c r="AL24" i="1"/>
  <c r="AN24" i="1"/>
  <c r="AQ24" i="1"/>
  <c r="AS24" i="1"/>
  <c r="AX24" i="1"/>
  <c r="AZ24" i="1"/>
  <c r="AZ41" i="1" s="1"/>
  <c r="BC24" i="1"/>
  <c r="BE24" i="1"/>
  <c r="BH24" i="1"/>
  <c r="BJ24" i="1"/>
  <c r="BL24" i="1"/>
  <c r="BM24" i="1"/>
  <c r="BN24" i="1"/>
  <c r="BO24" i="1"/>
  <c r="BP24" i="1"/>
  <c r="BQ24" i="1"/>
  <c r="BR24" i="1"/>
  <c r="C24" i="1"/>
  <c r="G23" i="1"/>
  <c r="L23" i="1" s="1"/>
  <c r="R23" i="1" s="1"/>
  <c r="B24" i="1"/>
  <c r="W23" i="1" l="1"/>
  <c r="AC23" i="1" s="1"/>
  <c r="B34" i="1"/>
  <c r="AF23" i="1" l="1"/>
  <c r="J35" i="1"/>
  <c r="P35" i="1" s="1"/>
  <c r="BS35" i="1"/>
  <c r="B45" i="1"/>
  <c r="AH23" i="1" l="1"/>
  <c r="AO23" i="1" s="1"/>
  <c r="AT23" i="1" s="1"/>
  <c r="BA23" i="1" s="1"/>
  <c r="BF23" i="1" s="1"/>
  <c r="BS23" i="1" s="1"/>
  <c r="BU23" i="1" s="1"/>
  <c r="BS21" i="1"/>
  <c r="BS20" i="1"/>
  <c r="AO35" i="1" l="1"/>
  <c r="G8" i="1"/>
  <c r="BA35" i="1" l="1"/>
  <c r="AT35" i="1"/>
  <c r="BD35" i="1"/>
  <c r="BF35" i="1"/>
  <c r="BK35" i="1" s="1"/>
  <c r="AI25" i="1" l="1"/>
  <c r="AT25" i="1"/>
  <c r="G30" i="1" l="1"/>
  <c r="L30" i="1" s="1"/>
  <c r="T31" i="1" l="1"/>
  <c r="BP51" i="1"/>
  <c r="D51" i="1"/>
  <c r="E51" i="1"/>
  <c r="F51" i="1"/>
  <c r="B51" i="1"/>
  <c r="B53" i="1" l="1"/>
  <c r="C31" i="1"/>
  <c r="C51" i="1"/>
  <c r="BS45" i="1"/>
  <c r="K41" i="1"/>
  <c r="K51" i="1"/>
  <c r="I51" i="1"/>
  <c r="I31" i="1"/>
  <c r="E34" i="1" l="1"/>
  <c r="K52" i="1"/>
  <c r="G31" i="1"/>
  <c r="BF25" i="1"/>
  <c r="BA25" i="1"/>
  <c r="AU25" i="1"/>
  <c r="AO25" i="1"/>
  <c r="X25" i="1"/>
  <c r="BG25" i="1" l="1"/>
  <c r="R30" i="1" l="1"/>
  <c r="F45" i="1"/>
  <c r="G7" i="1"/>
  <c r="G15" i="1"/>
  <c r="G22" i="1"/>
  <c r="G19" i="1"/>
  <c r="L19" i="1" s="1"/>
  <c r="G18" i="1"/>
  <c r="G17" i="1"/>
  <c r="G16" i="1"/>
  <c r="G14" i="1"/>
  <c r="M24" i="1" s="1"/>
  <c r="G13" i="1"/>
  <c r="G12" i="1"/>
  <c r="G11" i="1"/>
  <c r="G10" i="1"/>
  <c r="G9" i="1"/>
  <c r="AG40" i="1"/>
  <c r="BT51" i="1"/>
  <c r="BQ51" i="1"/>
  <c r="BQ53" i="1" s="1"/>
  <c r="BO51" i="1"/>
  <c r="BL51" i="1"/>
  <c r="BJ51" i="1"/>
  <c r="BT50" i="1"/>
  <c r="BR50" i="1"/>
  <c r="BQ44" i="1"/>
  <c r="BL44" i="1"/>
  <c r="BU41" i="1"/>
  <c r="BT41" i="1"/>
  <c r="BR41" i="1"/>
  <c r="BR44" i="1" s="1"/>
  <c r="BM41" i="1"/>
  <c r="BM44" i="1" s="1"/>
  <c r="BE45" i="1"/>
  <c r="AZ45" i="1"/>
  <c r="AS45" i="1"/>
  <c r="AN45" i="1"/>
  <c r="AB45" i="1"/>
  <c r="V45" i="1"/>
  <c r="K45" i="1"/>
  <c r="BP40" i="1"/>
  <c r="BE40" i="1"/>
  <c r="AZ40" i="1"/>
  <c r="AB40" i="1"/>
  <c r="K40" i="1"/>
  <c r="K43" i="1" s="1"/>
  <c r="F40" i="1"/>
  <c r="BQ34" i="1"/>
  <c r="BL34" i="1"/>
  <c r="V40" i="1"/>
  <c r="BT5" i="1"/>
  <c r="BT6" i="1"/>
  <c r="BT18" i="1"/>
  <c r="BT19" i="1"/>
  <c r="BT20" i="1"/>
  <c r="BT22" i="1"/>
  <c r="BT30" i="1"/>
  <c r="BS25" i="1"/>
  <c r="J40" i="1"/>
  <c r="J45" i="1" l="1"/>
  <c r="P45" i="1" s="1"/>
  <c r="J24" i="1"/>
  <c r="J51" i="1" s="1"/>
  <c r="G24" i="1"/>
  <c r="BT24" i="1"/>
  <c r="L11" i="1"/>
  <c r="L15" i="1"/>
  <c r="L8" i="1"/>
  <c r="L12" i="1"/>
  <c r="L17" i="1"/>
  <c r="L7" i="1"/>
  <c r="L5" i="1"/>
  <c r="N24" i="1" s="1"/>
  <c r="G40" i="1"/>
  <c r="L16" i="1"/>
  <c r="L13" i="1"/>
  <c r="L18" i="1"/>
  <c r="L22" i="1"/>
  <c r="L10" i="1"/>
  <c r="L14" i="1"/>
  <c r="L9" i="1"/>
  <c r="AJ54" i="1"/>
  <c r="AV54" i="1" s="1"/>
  <c r="AJ30" i="1"/>
  <c r="AV30" i="1" s="1"/>
  <c r="BT40" i="1"/>
  <c r="BT44" i="1" s="1"/>
  <c r="BT53" i="1"/>
  <c r="J41" i="1" l="1"/>
  <c r="H51" i="1"/>
  <c r="R8" i="1"/>
  <c r="R19" i="1"/>
  <c r="R15" i="1"/>
  <c r="R18" i="1"/>
  <c r="R17" i="1"/>
  <c r="R10" i="1"/>
  <c r="R7" i="1"/>
  <c r="R12" i="1"/>
  <c r="R22" i="1"/>
  <c r="R16" i="1"/>
  <c r="R14" i="1"/>
  <c r="R13" i="1"/>
  <c r="R50" i="1"/>
  <c r="W30" i="1"/>
  <c r="L40" i="1"/>
  <c r="AJ45" i="1"/>
  <c r="AV45" i="1" s="1"/>
  <c r="R9" i="1"/>
  <c r="AJ25" i="1"/>
  <c r="AV25" i="1" s="1"/>
  <c r="BH30" i="1"/>
  <c r="U50" i="1" l="1"/>
  <c r="J43" i="1"/>
  <c r="AO54" i="1"/>
  <c r="AT54" i="1" s="1"/>
  <c r="H31" i="1"/>
  <c r="L51" i="1"/>
  <c r="W16" i="1"/>
  <c r="W10" i="1"/>
  <c r="W22" i="1"/>
  <c r="W7" i="1"/>
  <c r="W13" i="1"/>
  <c r="W14" i="1"/>
  <c r="AA14" i="1" s="1"/>
  <c r="W17" i="1"/>
  <c r="W19" i="1"/>
  <c r="W15" i="1"/>
  <c r="W12" i="1"/>
  <c r="W18" i="1"/>
  <c r="W8" i="1"/>
  <c r="N51" i="1"/>
  <c r="W9" i="1"/>
  <c r="L6" i="1"/>
  <c r="R5" i="1"/>
  <c r="W50" i="1"/>
  <c r="U40" i="1"/>
  <c r="W40" i="1" l="1"/>
  <c r="L31" i="1"/>
  <c r="J44" i="1"/>
  <c r="AC50" i="1"/>
  <c r="AH50" i="1" s="1"/>
  <c r="L24" i="1"/>
  <c r="S24" i="1"/>
  <c r="L41" i="1"/>
  <c r="AC9" i="1"/>
  <c r="BS9" i="1" s="1"/>
  <c r="AC7" i="1"/>
  <c r="AF7" i="1" s="1"/>
  <c r="BS7" i="1" s="1"/>
  <c r="BA54" i="1"/>
  <c r="BH45" i="1"/>
  <c r="BS50" i="1" l="1"/>
  <c r="AA40" i="1"/>
  <c r="AH7" i="1"/>
  <c r="AO7" i="1" s="1"/>
  <c r="AT7" i="1" s="1"/>
  <c r="AH9" i="1"/>
  <c r="AO9" i="1" s="1"/>
  <c r="R24" i="1"/>
  <c r="AO30" i="1"/>
  <c r="BF54" i="1"/>
  <c r="AO50" i="1"/>
  <c r="AJ21" i="1"/>
  <c r="AC16" i="1"/>
  <c r="AF16" i="1" s="1"/>
  <c r="BS16" i="1" s="1"/>
  <c r="AC14" i="1"/>
  <c r="AF14" i="1" s="1"/>
  <c r="BS14" i="1" s="1"/>
  <c r="AC18" i="1"/>
  <c r="AF18" i="1" s="1"/>
  <c r="BS18" i="1" s="1"/>
  <c r="AC13" i="1"/>
  <c r="BS13" i="1" s="1"/>
  <c r="AC15" i="1"/>
  <c r="BS15" i="1" s="1"/>
  <c r="AC22" i="1"/>
  <c r="BS22" i="1" s="1"/>
  <c r="AJ18" i="1"/>
  <c r="AJ20" i="1"/>
  <c r="AJ9" i="1"/>
  <c r="AV9" i="1" s="1"/>
  <c r="AC19" i="1"/>
  <c r="BS19" i="1" s="1"/>
  <c r="AC12" i="1"/>
  <c r="BS12" i="1" s="1"/>
  <c r="AC10" i="1"/>
  <c r="BS10" i="1" s="1"/>
  <c r="AC11" i="1"/>
  <c r="BS11" i="1" s="1"/>
  <c r="AC8" i="1"/>
  <c r="BS8" i="1" s="1"/>
  <c r="AC17" i="1"/>
  <c r="BS17" i="1" s="1"/>
  <c r="AJ50" i="1"/>
  <c r="W5" i="1"/>
  <c r="Y24" i="1" s="1"/>
  <c r="BU54" i="1"/>
  <c r="BH54" i="1"/>
  <c r="AF40" i="1"/>
  <c r="AJ16" i="1" l="1"/>
  <c r="AV16" i="1" s="1"/>
  <c r="AJ15" i="1"/>
  <c r="AJ22" i="1"/>
  <c r="AV22" i="1" s="1"/>
  <c r="AJ19" i="1"/>
  <c r="AV19" i="1" s="1"/>
  <c r="AJ13" i="1"/>
  <c r="AJ11" i="1"/>
  <c r="AC40" i="1"/>
  <c r="AT50" i="1"/>
  <c r="U24" i="1"/>
  <c r="AH40" i="1"/>
  <c r="BU30" i="1"/>
  <c r="BU34" i="1" s="1"/>
  <c r="AM40" i="1"/>
  <c r="AM45" i="1"/>
  <c r="AR45" i="1" s="1"/>
  <c r="AT45" i="1" s="1"/>
  <c r="BA45" i="1" s="1"/>
  <c r="BF45" i="1" s="1"/>
  <c r="AO45" i="1"/>
  <c r="AH22" i="1"/>
  <c r="AH19" i="1"/>
  <c r="AH18" i="1"/>
  <c r="AH17" i="1"/>
  <c r="AH16" i="1"/>
  <c r="AH15" i="1"/>
  <c r="AH14" i="1"/>
  <c r="AH13" i="1"/>
  <c r="AH12" i="1"/>
  <c r="AH11" i="1"/>
  <c r="AH10" i="1"/>
  <c r="AT9" i="1"/>
  <c r="AH8" i="1"/>
  <c r="BA7" i="1"/>
  <c r="AV50" i="1"/>
  <c r="AV15" i="1"/>
  <c r="AJ40" i="1"/>
  <c r="AJ5" i="1"/>
  <c r="AO40" i="1" l="1"/>
  <c r="AU40" i="1"/>
  <c r="BS40" i="1"/>
  <c r="AO8" i="1"/>
  <c r="AT8" i="1" s="1"/>
  <c r="AO17" i="1"/>
  <c r="AT17" i="1" s="1"/>
  <c r="W24" i="1"/>
  <c r="AR40" i="1"/>
  <c r="AT40" i="1" s="1"/>
  <c r="AT30" i="1"/>
  <c r="BA50" i="1"/>
  <c r="BD40" i="1" s="1"/>
  <c r="AY45" i="1"/>
  <c r="AO22" i="1"/>
  <c r="AO19" i="1"/>
  <c r="AO16" i="1"/>
  <c r="AO14" i="1"/>
  <c r="BA9" i="1"/>
  <c r="BF7" i="1"/>
  <c r="BG7" i="1" s="1"/>
  <c r="AV21" i="1"/>
  <c r="AV18" i="1"/>
  <c r="AO18" i="1"/>
  <c r="AO15" i="1"/>
  <c r="AV20" i="1"/>
  <c r="AV13" i="1"/>
  <c r="AO13" i="1"/>
  <c r="AO12" i="1"/>
  <c r="AV11" i="1"/>
  <c r="AO11" i="1"/>
  <c r="AO10" i="1"/>
  <c r="AC5" i="1"/>
  <c r="AD24" i="1" s="1"/>
  <c r="BF50" i="1" l="1"/>
  <c r="BK40" i="1"/>
  <c r="BF9" i="1"/>
  <c r="AC6" i="1"/>
  <c r="AA24" i="1"/>
  <c r="AA51" i="1" s="1"/>
  <c r="AJ24" i="1"/>
  <c r="AT22" i="1"/>
  <c r="AT19" i="1"/>
  <c r="AT18" i="1"/>
  <c r="BA17" i="1"/>
  <c r="AT16" i="1"/>
  <c r="AT15" i="1"/>
  <c r="BA15" i="1" s="1"/>
  <c r="AT14" i="1"/>
  <c r="AT13" i="1"/>
  <c r="AT12" i="1"/>
  <c r="AT11" i="1"/>
  <c r="AT10" i="1"/>
  <c r="BA8" i="1"/>
  <c r="AV40" i="1"/>
  <c r="BG9" i="1" l="1"/>
  <c r="BA19" i="1"/>
  <c r="BF19" i="1" s="1"/>
  <c r="BG19" i="1" s="1"/>
  <c r="BA16" i="1"/>
  <c r="BF16" i="1" s="1"/>
  <c r="BG16" i="1" s="1"/>
  <c r="BF17" i="1"/>
  <c r="BA10" i="1"/>
  <c r="BF10" i="1" s="1"/>
  <c r="BG10" i="1" s="1"/>
  <c r="BA14" i="1"/>
  <c r="BF14" i="1" s="1"/>
  <c r="BG14" i="1" s="1"/>
  <c r="AC24" i="1"/>
  <c r="AY40" i="1"/>
  <c r="BA40" i="1" s="1"/>
  <c r="BA30" i="1"/>
  <c r="BA22" i="1"/>
  <c r="BA18" i="1"/>
  <c r="BF15" i="1"/>
  <c r="BG15" i="1" s="1"/>
  <c r="BA13" i="1"/>
  <c r="BA12" i="1"/>
  <c r="BA11" i="1"/>
  <c r="BF8" i="1"/>
  <c r="BG8" i="1" s="1"/>
  <c r="AH6" i="1"/>
  <c r="AM24" i="1" s="1"/>
  <c r="AM51" i="1" s="1"/>
  <c r="BF40" i="1"/>
  <c r="AH5" i="1"/>
  <c r="BH50" i="1"/>
  <c r="BS6" i="1" l="1"/>
  <c r="AI24" i="1"/>
  <c r="AJ6" i="1"/>
  <c r="AV6" i="1" s="1"/>
  <c r="AF24" i="1"/>
  <c r="AF51" i="1" s="1"/>
  <c r="BG17" i="1"/>
  <c r="BF11" i="1"/>
  <c r="AH24" i="1"/>
  <c r="AK24" i="1"/>
  <c r="BU19" i="1"/>
  <c r="BF22" i="1"/>
  <c r="BF18" i="1"/>
  <c r="BG18" i="1" s="1"/>
  <c r="BF13" i="1"/>
  <c r="BG13" i="1" s="1"/>
  <c r="BF12" i="1"/>
  <c r="BG12" i="1" s="1"/>
  <c r="BM50" i="1"/>
  <c r="BU50" i="1"/>
  <c r="BH40" i="1"/>
  <c r="BG11" i="1" l="1"/>
  <c r="BU18" i="1"/>
  <c r="BU20" i="1"/>
  <c r="AO6" i="1"/>
  <c r="AR24" i="1" s="1"/>
  <c r="AO5" i="1"/>
  <c r="AK51" i="1"/>
  <c r="BU40" i="1"/>
  <c r="BU44" i="1" s="1"/>
  <c r="V51" i="1"/>
  <c r="BT31" i="1"/>
  <c r="BE51" i="1"/>
  <c r="T51" i="1"/>
  <c r="BM31" i="1"/>
  <c r="BM34" i="1" s="1"/>
  <c r="AS51" i="1"/>
  <c r="AS41" i="1" s="1"/>
  <c r="AS43" i="1" s="1"/>
  <c r="AD51" i="1"/>
  <c r="Q51" i="1"/>
  <c r="AQ51" i="1"/>
  <c r="BN51" i="1"/>
  <c r="BP52" i="1" s="1"/>
  <c r="AZ51" i="1"/>
  <c r="BC51" i="1"/>
  <c r="BE52" i="1" s="1"/>
  <c r="O51" i="1"/>
  <c r="BE41" i="1"/>
  <c r="F41" i="1"/>
  <c r="AN51" i="1"/>
  <c r="N31" i="1"/>
  <c r="BR31" i="1"/>
  <c r="BR34" i="1" s="1"/>
  <c r="AX51" i="1"/>
  <c r="Q41" i="1"/>
  <c r="S51" i="1"/>
  <c r="AB51" i="1"/>
  <c r="AB41" i="1" s="1"/>
  <c r="V41" i="1"/>
  <c r="V43" i="1" s="1"/>
  <c r="Z51" i="1"/>
  <c r="AE51" i="1"/>
  <c r="BP41" i="1"/>
  <c r="BP43" i="1" s="1"/>
  <c r="AG51" i="1"/>
  <c r="AL51" i="1"/>
  <c r="Y51" i="1"/>
  <c r="AA52" i="1" s="1"/>
  <c r="AM52" i="1" l="1"/>
  <c r="AU51" i="1"/>
  <c r="AU52" i="1" s="1"/>
  <c r="BE43" i="1"/>
  <c r="AZ52" i="1"/>
  <c r="AZ43" i="1" s="1"/>
  <c r="AQ31" i="1"/>
  <c r="AS33" i="1" s="1"/>
  <c r="AS52" i="1"/>
  <c r="AL31" i="1"/>
  <c r="AN52" i="1"/>
  <c r="Q43" i="1"/>
  <c r="F43" i="1"/>
  <c r="G41" i="1"/>
  <c r="AP24" i="1"/>
  <c r="AO24" i="1"/>
  <c r="AG52" i="1"/>
  <c r="AC51" i="1"/>
  <c r="AB52" i="1"/>
  <c r="O31" i="1"/>
  <c r="BN31" i="1"/>
  <c r="AK31" i="1"/>
  <c r="R31" i="1"/>
  <c r="BU22" i="1"/>
  <c r="AN41" i="1"/>
  <c r="AG41" i="1"/>
  <c r="AG43" i="1" s="1"/>
  <c r="R51" i="1"/>
  <c r="BC31" i="1"/>
  <c r="BR51" i="1"/>
  <c r="BR53" i="1" s="1"/>
  <c r="AE31" i="1"/>
  <c r="AG33" i="1" s="1"/>
  <c r="Z31" i="1"/>
  <c r="Y31" i="1"/>
  <c r="AD31" i="1"/>
  <c r="AF33" i="1" s="1"/>
  <c r="AH51" i="1"/>
  <c r="AO51" i="1"/>
  <c r="S31" i="1"/>
  <c r="U33" i="1" s="1"/>
  <c r="U34" i="1" s="1"/>
  <c r="AX31" i="1"/>
  <c r="AZ33" i="1" s="1"/>
  <c r="AR34" i="1" l="1"/>
  <c r="AU31" i="1"/>
  <c r="BS31" i="1"/>
  <c r="AU53" i="1"/>
  <c r="AI33" i="1"/>
  <c r="BE33" i="1"/>
  <c r="AN43" i="1"/>
  <c r="AN53" i="1"/>
  <c r="AS53" i="1" s="1"/>
  <c r="AZ53" i="1" s="1"/>
  <c r="BE53" i="1" s="1"/>
  <c r="K44" i="1"/>
  <c r="AU24" i="1"/>
  <c r="AV5" i="1"/>
  <c r="AV24" i="1" s="1"/>
  <c r="W31" i="1"/>
  <c r="AR51" i="1"/>
  <c r="AT6" i="1"/>
  <c r="AY24" i="1" s="1"/>
  <c r="AT5" i="1"/>
  <c r="AW24" i="1" s="1"/>
  <c r="AP51" i="1"/>
  <c r="AI34" i="1" l="1"/>
  <c r="AS34" i="1"/>
  <c r="AZ34" i="1" s="1"/>
  <c r="BE34" i="1" s="1"/>
  <c r="AR52" i="1"/>
  <c r="Q44" i="1"/>
  <c r="V44" i="1" s="1"/>
  <c r="AG44" i="1" s="1"/>
  <c r="AN44" i="1" s="1"/>
  <c r="AS44" i="1" s="1"/>
  <c r="AZ44" i="1" s="1"/>
  <c r="BE44" i="1" s="1"/>
  <c r="AT24" i="1"/>
  <c r="AP31" i="1"/>
  <c r="AR33" i="1" s="1"/>
  <c r="AT51" i="1"/>
  <c r="AJ31" i="1"/>
  <c r="BD34" i="1" l="1"/>
  <c r="BK34" i="1" s="1"/>
  <c r="BG34" i="1"/>
  <c r="AA41" i="1"/>
  <c r="AW51" i="1"/>
  <c r="AY51" i="1"/>
  <c r="AY41" i="1" s="1"/>
  <c r="AY43" i="1" s="1"/>
  <c r="U41" i="1"/>
  <c r="U51" i="1" s="1"/>
  <c r="U52" i="1" s="1"/>
  <c r="U53" i="1" s="1"/>
  <c r="AJ34" i="1"/>
  <c r="AA43" i="1" l="1"/>
  <c r="AA44" i="1" s="1"/>
  <c r="X43" i="1"/>
  <c r="U43" i="1"/>
  <c r="U44" i="1" s="1"/>
  <c r="BF6" i="1"/>
  <c r="BD24" i="1"/>
  <c r="AY52" i="1"/>
  <c r="BA24" i="1"/>
  <c r="AC41" i="1"/>
  <c r="AH31" i="1"/>
  <c r="R41" i="1"/>
  <c r="AW31" i="1"/>
  <c r="BA51" i="1"/>
  <c r="W41" i="1"/>
  <c r="AY53" i="1" l="1"/>
  <c r="BK24" i="1"/>
  <c r="BG6" i="1"/>
  <c r="BB24" i="1"/>
  <c r="BB51" i="1" s="1"/>
  <c r="BB31" i="1" s="1"/>
  <c r="BG5" i="1"/>
  <c r="BG24" i="1" s="1"/>
  <c r="W51" i="1"/>
  <c r="BF5" i="1"/>
  <c r="BD51" i="1"/>
  <c r="AF41" i="1"/>
  <c r="BG51" i="1" l="1"/>
  <c r="BG52" i="1" s="1"/>
  <c r="BG53" i="1" s="1"/>
  <c r="BD52" i="1"/>
  <c r="BD53" i="1" s="1"/>
  <c r="BK53" i="1" s="1"/>
  <c r="BP53" i="1" s="1"/>
  <c r="BI24" i="1"/>
  <c r="BI51" i="1" s="1"/>
  <c r="BS5" i="1"/>
  <c r="BF24" i="1"/>
  <c r="AV31" i="1"/>
  <c r="AV34" i="1" s="1"/>
  <c r="BF51" i="1"/>
  <c r="AM41" i="1"/>
  <c r="AO31" i="1"/>
  <c r="AH41" i="1"/>
  <c r="AU41" i="1" l="1"/>
  <c r="AR44" i="1"/>
  <c r="AY44" i="1" s="1"/>
  <c r="AO41" i="1"/>
  <c r="AJ41" i="1"/>
  <c r="AJ44" i="1" s="1"/>
  <c r="AJ51" i="1"/>
  <c r="AJ53" i="1" s="1"/>
  <c r="BK51" i="1"/>
  <c r="BI31" i="1"/>
  <c r="BU5" i="1"/>
  <c r="AR41" i="1"/>
  <c r="AT31" i="1"/>
  <c r="BS24" i="1" l="1"/>
  <c r="BA31" i="1"/>
  <c r="BF31" i="1" s="1"/>
  <c r="BS51" i="1"/>
  <c r="BS52" i="1" s="1"/>
  <c r="AV51" i="1"/>
  <c r="AV53" i="1" s="1"/>
  <c r="BM51" i="1"/>
  <c r="BU6" i="1"/>
  <c r="BU24" i="1" s="1"/>
  <c r="AT41" i="1"/>
  <c r="BU53" i="1" l="1"/>
  <c r="AV41" i="1"/>
  <c r="AV44" i="1" s="1"/>
  <c r="BH51" i="1"/>
  <c r="BH53" i="1" s="1"/>
  <c r="BL52" i="1"/>
  <c r="BL53" i="1" s="1"/>
  <c r="BU31" i="1"/>
  <c r="BT34" i="1" s="1"/>
  <c r="BU51" i="1"/>
  <c r="BA41" i="1"/>
  <c r="BK41" i="1" l="1"/>
  <c r="BK43" i="1" s="1"/>
  <c r="BD41" i="1" l="1"/>
  <c r="BD43" i="1" l="1"/>
  <c r="BD44" i="1" s="1"/>
  <c r="BG41" i="1"/>
  <c r="BF41" i="1"/>
  <c r="BH31" i="1"/>
  <c r="BH34" i="1" s="1"/>
  <c r="BS41" i="1" l="1"/>
  <c r="BS43" i="1" s="1"/>
  <c r="BG43" i="1"/>
  <c r="BG44" i="1"/>
  <c r="BK44" i="1" s="1"/>
  <c r="BP44" i="1" s="1"/>
  <c r="BH41" i="1"/>
  <c r="BH44" i="1" s="1"/>
</calcChain>
</file>

<file path=xl/sharedStrings.xml><?xml version="1.0" encoding="utf-8"?>
<sst xmlns="http://schemas.openxmlformats.org/spreadsheetml/2006/main" count="498" uniqueCount="59">
  <si>
    <t>ÓRGÃO</t>
  </si>
  <si>
    <t>ORÇAMENTO PREVISTO</t>
  </si>
  <si>
    <t>JANEIRO</t>
  </si>
  <si>
    <t xml:space="preserve">FEVEREIRO </t>
  </si>
  <si>
    <t>1º BIMESTRE</t>
  </si>
  <si>
    <t xml:space="preserve">MARÇO </t>
  </si>
  <si>
    <t xml:space="preserve">ABRIL </t>
  </si>
  <si>
    <t>2º BIMESTRE</t>
  </si>
  <si>
    <t>Saldo Acumulado</t>
  </si>
  <si>
    <t xml:space="preserve">MAIO </t>
  </si>
  <si>
    <t xml:space="preserve">JUNHO </t>
  </si>
  <si>
    <t>3º BIMESTRE</t>
  </si>
  <si>
    <t xml:space="preserve">JULHO </t>
  </si>
  <si>
    <t xml:space="preserve">AGOSTO </t>
  </si>
  <si>
    <t>4º BIMESTRE</t>
  </si>
  <si>
    <t xml:space="preserve">SETEMBRO </t>
  </si>
  <si>
    <t xml:space="preserve">OUTUBRO </t>
  </si>
  <si>
    <t>5º BIMESTRE</t>
  </si>
  <si>
    <t xml:space="preserve">NOVEMBRO </t>
  </si>
  <si>
    <t xml:space="preserve">DEZEMBRO </t>
  </si>
  <si>
    <t>TOTAL</t>
  </si>
  <si>
    <t>REPASSES</t>
  </si>
  <si>
    <t>LIQUIDADO</t>
  </si>
  <si>
    <t>Saldo</t>
  </si>
  <si>
    <t>Previsto</t>
  </si>
  <si>
    <t>Executado</t>
  </si>
  <si>
    <t>01. CMV</t>
  </si>
  <si>
    <t xml:space="preserve"> </t>
  </si>
  <si>
    <t>05. SMF</t>
  </si>
  <si>
    <t>07. SMED</t>
  </si>
  <si>
    <t xml:space="preserve">RESERVA </t>
  </si>
  <si>
    <t>Fluxo Financeiro
Recurso Livre</t>
  </si>
  <si>
    <t>Receita</t>
  </si>
  <si>
    <t>Despesa</t>
  </si>
  <si>
    <t>Fluxo Financeiro
Recurso Vinculado</t>
  </si>
  <si>
    <t>Superávit</t>
  </si>
  <si>
    <t>Fluxo Financeiro</t>
  </si>
  <si>
    <t>03. PGM</t>
  </si>
  <si>
    <t>04. SMG</t>
  </si>
  <si>
    <t>06. SMS</t>
  </si>
  <si>
    <t>14. SMU</t>
  </si>
  <si>
    <t>Atualizado</t>
  </si>
  <si>
    <t>02. CCI</t>
  </si>
  <si>
    <t>08. SMCEL</t>
  </si>
  <si>
    <t>09. SMDS</t>
  </si>
  <si>
    <t>10. SMDR</t>
  </si>
  <si>
    <t>11. SMDETI</t>
  </si>
  <si>
    <t>12. SMERU</t>
  </si>
  <si>
    <t>13. SMIS</t>
  </si>
  <si>
    <t>15. SMA</t>
  </si>
  <si>
    <t>16. IPASSP</t>
  </si>
  <si>
    <t>18. IPLAN</t>
  </si>
  <si>
    <t>19. ENC. GERAIS</t>
  </si>
  <si>
    <t>Resultado Financeiro Mês/Bimestre</t>
  </si>
  <si>
    <t>Saldo Atualizado</t>
  </si>
  <si>
    <t>20. CAGEM</t>
  </si>
  <si>
    <t>Emendas Rec 20 e 40</t>
  </si>
  <si>
    <t>ANEXO II - PROGRAMAÇÃO FINANCEIRA/ORÇAMENTÁRIA DE DESEMBOLSO – 2021</t>
  </si>
  <si>
    <t>Emendas Rec 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</si>
</sst>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 ;[Red]\-#,##0.00\ "/>
  </numFmts>
  <fonts count="9" x14ac:knownFonts="1">
    <font>
      <sz val="10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10"/>
      <name val="Calibri"/>
      <family val="2"/>
      <scheme val="minor"/>
    </font>
    <font>
      <b/>
      <i/>
      <sz val="7"/>
      <name val="Calibri"/>
      <family val="2"/>
      <scheme val="minor"/>
    </font>
    <font>
      <i/>
      <sz val="7"/>
      <name val="Calibri"/>
      <family val="2"/>
      <scheme val="minor"/>
    </font>
    <font>
      <sz val="7"/>
      <color indexed="10"/>
      <name val="Calibri"/>
      <family val="2"/>
      <scheme val="minor"/>
    </font>
    <font>
      <b/>
      <sz val="7"/>
      <color indexed="10"/>
      <name val="Calibri"/>
      <family val="2"/>
      <scheme val="minor"/>
    </font>
    <font>
      <b/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 style="hair">
        <color indexed="8"/>
      </right>
      <top style="hair">
        <color indexed="8"/>
      </top>
      <bottom style="hair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40" fontId="1" fillId="2" borderId="1" xfId="0" applyNumberFormat="1" applyFont="1" applyFill="1" applyBorder="1" applyAlignment="1">
      <alignment horizontal="center" vertical="center" wrapText="1"/>
    </xf>
    <xf numFmtId="40" fontId="2" fillId="0" borderId="0" xfId="0" applyNumberFormat="1" applyFont="1" applyBorder="1" applyAlignment="1">
      <alignment vertical="center" wrapText="1"/>
    </xf>
    <xf numFmtId="0" fontId="3" fillId="0" borderId="0" xfId="0" applyFont="1"/>
    <xf numFmtId="40" fontId="4" fillId="2" borderId="1" xfId="0" applyNumberFormat="1" applyFont="1" applyFill="1" applyBorder="1" applyAlignment="1">
      <alignment horizontal="center" vertical="center" wrapText="1"/>
    </xf>
    <xf numFmtId="40" fontId="1" fillId="0" borderId="1" xfId="0" applyNumberFormat="1" applyFont="1" applyBorder="1" applyAlignment="1">
      <alignment vertical="center" wrapText="1"/>
    </xf>
    <xf numFmtId="40" fontId="2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center" wrapText="1"/>
    </xf>
    <xf numFmtId="40" fontId="2" fillId="0" borderId="1" xfId="0" applyNumberFormat="1" applyFont="1" applyBorder="1" applyAlignment="1">
      <alignment horizontal="center" vertical="center" wrapText="1"/>
    </xf>
    <xf numFmtId="40" fontId="1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vertical="center" wrapText="1"/>
    </xf>
    <xf numFmtId="40" fontId="4" fillId="0" borderId="1" xfId="0" applyNumberFormat="1" applyFont="1" applyBorder="1" applyAlignment="1">
      <alignment horizontal="center" vertical="center" wrapText="1"/>
    </xf>
    <xf numFmtId="40" fontId="5" fillId="0" borderId="1" xfId="0" applyNumberFormat="1" applyFont="1" applyBorder="1" applyAlignment="1">
      <alignment horizontal="center" wrapText="1"/>
    </xf>
    <xf numFmtId="40" fontId="4" fillId="0" borderId="1" xfId="0" applyNumberFormat="1" applyFont="1" applyBorder="1" applyAlignment="1">
      <alignment horizontal="center" wrapText="1"/>
    </xf>
    <xf numFmtId="40" fontId="1" fillId="0" borderId="1" xfId="0" applyNumberFormat="1" applyFont="1" applyBorder="1" applyAlignment="1">
      <alignment horizontal="left" vertical="center" wrapText="1"/>
    </xf>
    <xf numFmtId="40" fontId="1" fillId="0" borderId="1" xfId="0" applyNumberFormat="1" applyFont="1" applyBorder="1" applyAlignment="1">
      <alignment horizontal="right" vertical="center" wrapText="1"/>
    </xf>
    <xf numFmtId="40" fontId="1" fillId="0" borderId="0" xfId="0" applyNumberFormat="1" applyFont="1" applyBorder="1" applyAlignment="1">
      <alignment horizontal="center" vertical="center" wrapText="1"/>
    </xf>
    <xf numFmtId="40" fontId="6" fillId="0" borderId="0" xfId="0" applyNumberFormat="1" applyFont="1" applyBorder="1" applyAlignment="1">
      <alignment vertical="center" wrapText="1"/>
    </xf>
    <xf numFmtId="40" fontId="6" fillId="0" borderId="0" xfId="0" applyNumberFormat="1" applyFont="1" applyBorder="1" applyAlignment="1">
      <alignment horizontal="center" vertical="center" wrapText="1"/>
    </xf>
    <xf numFmtId="40" fontId="4" fillId="0" borderId="0" xfId="0" applyNumberFormat="1" applyFont="1" applyBorder="1" applyAlignment="1">
      <alignment horizontal="center" vertical="center" wrapText="1"/>
    </xf>
    <xf numFmtId="40" fontId="5" fillId="0" borderId="0" xfId="0" applyNumberFormat="1" applyFont="1" applyBorder="1" applyAlignment="1">
      <alignment horizontal="center" vertical="center" wrapText="1"/>
    </xf>
    <xf numFmtId="40" fontId="7" fillId="0" borderId="0" xfId="0" applyNumberFormat="1" applyFont="1" applyBorder="1" applyAlignment="1">
      <alignment horizontal="center" vertical="center" wrapText="1"/>
    </xf>
    <xf numFmtId="40" fontId="4" fillId="2" borderId="2" xfId="0" applyNumberFormat="1" applyFont="1" applyFill="1" applyBorder="1" applyAlignment="1">
      <alignment horizontal="center" vertical="center" wrapText="1"/>
    </xf>
    <xf numFmtId="40" fontId="4" fillId="0" borderId="2" xfId="0" applyNumberFormat="1" applyFont="1" applyBorder="1" applyAlignment="1">
      <alignment horizontal="center" vertical="center" wrapText="1"/>
    </xf>
    <xf numFmtId="40" fontId="2" fillId="0" borderId="0" xfId="0" applyNumberFormat="1" applyFont="1" applyBorder="1" applyAlignment="1">
      <alignment horizontal="center" vertical="center" wrapText="1"/>
    </xf>
    <xf numFmtId="40" fontId="1" fillId="2" borderId="3" xfId="0" applyNumberFormat="1" applyFont="1" applyFill="1" applyBorder="1" applyAlignment="1">
      <alignment horizontal="center" vertical="center" wrapText="1"/>
    </xf>
    <xf numFmtId="40" fontId="1" fillId="0" borderId="3" xfId="0" applyNumberFormat="1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40" fontId="2" fillId="0" borderId="3" xfId="0" applyNumberFormat="1" applyFont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vertical="center" wrapText="1"/>
    </xf>
    <xf numFmtId="40" fontId="1" fillId="2" borderId="5" xfId="0" applyNumberFormat="1" applyFont="1" applyFill="1" applyBorder="1" applyAlignment="1">
      <alignment vertical="center" wrapText="1"/>
    </xf>
    <xf numFmtId="40" fontId="1" fillId="2" borderId="6" xfId="0" applyNumberFormat="1" applyFont="1" applyFill="1" applyBorder="1" applyAlignment="1">
      <alignment vertical="center" wrapText="1"/>
    </xf>
    <xf numFmtId="40" fontId="1" fillId="2" borderId="7" xfId="0" applyNumberFormat="1" applyFont="1" applyFill="1" applyBorder="1" applyAlignment="1">
      <alignment vertical="center" wrapText="1"/>
    </xf>
    <xf numFmtId="40" fontId="1" fillId="2" borderId="8" xfId="0" applyNumberFormat="1" applyFont="1" applyFill="1" applyBorder="1" applyAlignment="1">
      <alignment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2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9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vertical="center" wrapText="1"/>
    </xf>
    <xf numFmtId="40" fontId="2" fillId="3" borderId="1" xfId="0" applyNumberFormat="1" applyFont="1" applyFill="1" applyBorder="1" applyAlignment="1">
      <alignment horizontal="center" wrapText="1"/>
    </xf>
    <xf numFmtId="40" fontId="1" fillId="3" borderId="1" xfId="0" applyNumberFormat="1" applyFont="1" applyFill="1" applyBorder="1" applyAlignment="1">
      <alignment horizontal="center" wrapText="1"/>
    </xf>
    <xf numFmtId="40" fontId="4" fillId="3" borderId="1" xfId="0" applyNumberFormat="1" applyFont="1" applyFill="1" applyBorder="1" applyAlignment="1">
      <alignment horizontal="center" wrapText="1"/>
    </xf>
    <xf numFmtId="40" fontId="5" fillId="3" borderId="1" xfId="0" applyNumberFormat="1" applyFont="1" applyFill="1" applyBorder="1" applyAlignment="1">
      <alignment horizontal="center" wrapText="1"/>
    </xf>
    <xf numFmtId="40" fontId="2" fillId="3" borderId="1" xfId="0" applyNumberFormat="1" applyFont="1" applyFill="1" applyBorder="1" applyAlignment="1">
      <alignment horizontal="center" vertical="center" wrapText="1"/>
    </xf>
    <xf numFmtId="40" fontId="5" fillId="3" borderId="1" xfId="0" applyNumberFormat="1" applyFont="1" applyFill="1" applyBorder="1" applyAlignment="1">
      <alignment horizontal="center" vertical="center" wrapText="1"/>
    </xf>
    <xf numFmtId="40" fontId="1" fillId="3" borderId="1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40" fontId="1" fillId="2" borderId="10" xfId="0" applyNumberFormat="1" applyFont="1" applyFill="1" applyBorder="1" applyAlignment="1">
      <alignment vertical="center" wrapText="1"/>
    </xf>
    <xf numFmtId="40" fontId="1" fillId="3" borderId="1" xfId="0" applyNumberFormat="1" applyFont="1" applyFill="1" applyBorder="1" applyAlignment="1">
      <alignment horizontal="left" vertical="center" wrapText="1"/>
    </xf>
    <xf numFmtId="40" fontId="4" fillId="3" borderId="1" xfId="0" applyNumberFormat="1" applyFont="1" applyFill="1" applyBorder="1" applyAlignment="1">
      <alignment horizontal="center" vertical="center" wrapText="1"/>
    </xf>
    <xf numFmtId="40" fontId="1" fillId="2" borderId="4" xfId="0" applyNumberFormat="1" applyFont="1" applyFill="1" applyBorder="1" applyAlignment="1">
      <alignment horizontal="center" vertical="center" wrapText="1"/>
    </xf>
    <xf numFmtId="40" fontId="8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center" vertical="center" wrapText="1"/>
    </xf>
    <xf numFmtId="40" fontId="1" fillId="2" borderId="1" xfId="0" applyNumberFormat="1" applyFont="1" applyFill="1" applyBorder="1" applyAlignment="1">
      <alignment horizontal="left" vertical="center" wrapText="1"/>
    </xf>
    <xf numFmtId="40" fontId="1" fillId="2" borderId="10" xfId="0" applyNumberFormat="1" applyFont="1" applyFill="1" applyBorder="1" applyAlignment="1">
      <alignment horizontal="center" vertical="center" wrapText="1"/>
    </xf>
    <xf numFmtId="40" fontId="1" fillId="2" borderId="11" xfId="0" applyNumberFormat="1" applyFont="1" applyFill="1" applyBorder="1" applyAlignment="1">
      <alignment horizontal="center" vertical="center" wrapText="1"/>
    </xf>
    <xf numFmtId="40" fontId="1" fillId="2" borderId="1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S78"/>
  <sheetViews>
    <sheetView tabSelected="1" zoomScale="120" zoomScaleNormal="120" zoomScaleSheetLayoutView="90" workbookViewId="0">
      <pane xSplit="2" ySplit="4" topLeftCell="AW5" activePane="bottomRight" state="frozen"/>
      <selection pane="topRight" activeCell="AN1" sqref="AN1"/>
      <selection pane="bottomLeft" activeCell="A5" sqref="A5"/>
      <selection pane="bottomRight" activeCell="BP16" sqref="BP16"/>
    </sheetView>
  </sheetViews>
  <sheetFormatPr defaultColWidth="7.7109375" defaultRowHeight="12.75" x14ac:dyDescent="0.2"/>
  <cols>
    <col min="1" max="1" width="12.5703125" style="2" customWidth="1"/>
    <col min="2" max="2" width="11.85546875" style="2" customWidth="1"/>
    <col min="3" max="3" width="10" style="2" customWidth="1"/>
    <col min="4" max="4" width="10.42578125" style="2" customWidth="1"/>
    <col min="5" max="5" width="10.5703125" style="2" customWidth="1"/>
    <col min="6" max="6" width="11.5703125" style="2" customWidth="1"/>
    <col min="7" max="7" width="11.140625" style="2" customWidth="1"/>
    <col min="8" max="8" width="10.28515625" style="24" customWidth="1"/>
    <col min="9" max="9" width="11.140625" style="24" customWidth="1"/>
    <col min="10" max="10" width="11.5703125" style="24" customWidth="1"/>
    <col min="11" max="11" width="12.85546875" style="20" customWidth="1"/>
    <col min="12" max="12" width="11.5703125" style="20" customWidth="1"/>
    <col min="13" max="13" width="10.7109375" style="19" customWidth="1"/>
    <col min="14" max="14" width="12.42578125" style="24" customWidth="1"/>
    <col min="15" max="15" width="12.85546875" style="24" customWidth="1"/>
    <col min="16" max="16" width="12.28515625" style="20" customWidth="1"/>
    <col min="17" max="18" width="12.85546875" style="19" customWidth="1"/>
    <col min="19" max="19" width="10.7109375" style="19" customWidth="1"/>
    <col min="20" max="20" width="11.28515625" style="24" customWidth="1"/>
    <col min="21" max="21" width="12" style="24" customWidth="1"/>
    <col min="22" max="22" width="12" style="20" customWidth="1"/>
    <col min="23" max="23" width="11.5703125" style="20" customWidth="1"/>
    <col min="24" max="24" width="12.42578125" style="19" customWidth="1"/>
    <col min="25" max="25" width="10.28515625" style="24" customWidth="1"/>
    <col min="26" max="26" width="10.42578125" style="24" customWidth="1"/>
    <col min="27" max="28" width="12.85546875" style="24" customWidth="1"/>
    <col min="29" max="29" width="11.5703125" style="24" customWidth="1"/>
    <col min="30" max="30" width="12.85546875" style="24" customWidth="1"/>
    <col min="31" max="31" width="11.5703125" style="24" customWidth="1"/>
    <col min="32" max="32" width="12.85546875" style="24" customWidth="1"/>
    <col min="33" max="34" width="12.85546875" style="20" customWidth="1"/>
    <col min="35" max="35" width="12.85546875" style="19" customWidth="1"/>
    <col min="36" max="36" width="12.85546875" style="24" hidden="1" customWidth="1"/>
    <col min="37" max="37" width="11.28515625" style="24" customWidth="1"/>
    <col min="38" max="38" width="11.140625" style="20" hidden="1" customWidth="1"/>
    <col min="39" max="39" width="12.5703125" style="20" customWidth="1"/>
    <col min="40" max="40" width="11.42578125" style="20" hidden="1" customWidth="1"/>
    <col min="41" max="41" width="12.85546875" style="20" hidden="1" customWidth="1"/>
    <col min="42" max="42" width="11.7109375" style="20" customWidth="1"/>
    <col min="43" max="43" width="10.5703125" style="24" hidden="1" customWidth="1"/>
    <col min="44" max="44" width="12.85546875" style="24" customWidth="1"/>
    <col min="45" max="46" width="12.85546875" style="20" hidden="1" customWidth="1"/>
    <col min="47" max="47" width="11.5703125" style="19" customWidth="1"/>
    <col min="48" max="48" width="12.85546875" style="24" hidden="1" customWidth="1"/>
    <col min="49" max="49" width="11.42578125" style="24" customWidth="1"/>
    <col min="50" max="50" width="11.85546875" style="20" hidden="1" customWidth="1"/>
    <col min="51" max="51" width="12.85546875" style="20" customWidth="1"/>
    <col min="52" max="52" width="12.85546875" style="20" hidden="1" customWidth="1"/>
    <col min="53" max="53" width="12" style="20" hidden="1" customWidth="1"/>
    <col min="54" max="54" width="12.85546875" style="20" customWidth="1"/>
    <col min="55" max="55" width="11.7109375" style="24" hidden="1" customWidth="1"/>
    <col min="56" max="56" width="12.85546875" style="24" customWidth="1"/>
    <col min="57" max="57" width="11" style="24" hidden="1" customWidth="1"/>
    <col min="58" max="58" width="12" style="24" hidden="1" customWidth="1"/>
    <col min="59" max="59" width="11" style="16" customWidth="1"/>
    <col min="60" max="60" width="12.85546875" style="24" hidden="1" customWidth="1"/>
    <col min="61" max="61" width="13.42578125" style="24" customWidth="1"/>
    <col min="62" max="62" width="12.85546875" style="20" hidden="1" customWidth="1"/>
    <col min="63" max="63" width="15" style="20" customWidth="1"/>
    <col min="64" max="65" width="12.85546875" style="20" hidden="1" customWidth="1"/>
    <col min="66" max="66" width="12.5703125" style="20" customWidth="1"/>
    <col min="67" max="67" width="12.85546875" style="24" hidden="1" customWidth="1"/>
    <col min="68" max="68" width="13.5703125" style="24" customWidth="1"/>
    <col min="69" max="70" width="0" style="24" hidden="1" customWidth="1"/>
    <col min="71" max="71" width="13.85546875" style="24" customWidth="1"/>
    <col min="72" max="73" width="7.7109375" style="24" hidden="1" customWidth="1"/>
    <col min="74" max="74" width="11.42578125" style="19" customWidth="1"/>
    <col min="75" max="75" width="11.85546875" style="2" customWidth="1"/>
    <col min="76" max="76" width="9.7109375" style="2" customWidth="1"/>
    <col min="77" max="252" width="7.7109375" style="2"/>
    <col min="253" max="16384" width="7.7109375" style="3"/>
  </cols>
  <sheetData>
    <row r="1" spans="1:253" s="2" customFormat="1" ht="11.1" customHeight="1" x14ac:dyDescent="0.2">
      <c r="A1" s="47"/>
      <c r="B1" s="29"/>
      <c r="C1" s="54" t="s">
        <v>57</v>
      </c>
      <c r="D1" s="50"/>
      <c r="E1" s="50"/>
      <c r="F1" s="50"/>
      <c r="G1" s="50"/>
      <c r="H1" s="50"/>
      <c r="I1" s="50"/>
      <c r="J1" s="50"/>
      <c r="K1" s="50"/>
      <c r="L1" s="50"/>
      <c r="M1" s="50"/>
      <c r="N1" s="50" t="s">
        <v>57</v>
      </c>
      <c r="O1" s="50"/>
      <c r="P1" s="50"/>
      <c r="Q1" s="50"/>
      <c r="R1" s="50"/>
      <c r="S1" s="50"/>
      <c r="T1" s="50"/>
      <c r="U1" s="50"/>
      <c r="V1" s="50"/>
      <c r="W1" s="50"/>
      <c r="X1" s="50"/>
      <c r="Y1" s="50" t="s">
        <v>57</v>
      </c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29"/>
      <c r="AK1" s="50" t="s">
        <v>57</v>
      </c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  <c r="AX1" s="50"/>
      <c r="AY1" s="50"/>
      <c r="AZ1" s="50"/>
      <c r="BA1" s="50"/>
      <c r="BB1" s="50"/>
      <c r="BC1" s="50"/>
      <c r="BD1" s="50"/>
      <c r="BE1" s="50"/>
      <c r="BF1" s="50"/>
      <c r="BG1" s="50"/>
      <c r="BH1" s="29"/>
      <c r="BI1" s="50" t="s">
        <v>57</v>
      </c>
      <c r="BJ1" s="50"/>
      <c r="BK1" s="50"/>
      <c r="BL1" s="50"/>
      <c r="BM1" s="50"/>
      <c r="BN1" s="50"/>
      <c r="BO1" s="50"/>
      <c r="BP1" s="50"/>
      <c r="BQ1" s="50"/>
      <c r="BR1" s="50"/>
      <c r="BS1" s="50"/>
      <c r="BT1" s="1"/>
      <c r="BU1" s="1"/>
      <c r="IL1" s="3"/>
      <c r="IM1" s="3"/>
      <c r="IN1" s="3"/>
      <c r="IO1" s="3"/>
      <c r="IP1" s="3"/>
      <c r="IQ1" s="3"/>
      <c r="IR1" s="3"/>
      <c r="IS1" s="3"/>
    </row>
    <row r="2" spans="1:253" s="2" customFormat="1" ht="12.6" customHeight="1" x14ac:dyDescent="0.2">
      <c r="A2" s="52" t="s">
        <v>0</v>
      </c>
      <c r="B2" s="52" t="s">
        <v>1</v>
      </c>
      <c r="C2" s="52" t="s">
        <v>2</v>
      </c>
      <c r="D2" s="52"/>
      <c r="E2" s="52"/>
      <c r="F2" s="52"/>
      <c r="G2" s="1"/>
      <c r="H2" s="52" t="s">
        <v>3</v>
      </c>
      <c r="I2" s="52"/>
      <c r="J2" s="52"/>
      <c r="K2" s="52"/>
      <c r="L2" s="52"/>
      <c r="M2" s="51" t="s">
        <v>4</v>
      </c>
      <c r="N2" s="52" t="s">
        <v>5</v>
      </c>
      <c r="O2" s="52"/>
      <c r="P2" s="52"/>
      <c r="Q2" s="52"/>
      <c r="R2" s="52"/>
      <c r="S2" s="52" t="s">
        <v>6</v>
      </c>
      <c r="T2" s="52"/>
      <c r="U2" s="52"/>
      <c r="V2" s="52"/>
      <c r="W2" s="52"/>
      <c r="X2" s="51" t="s">
        <v>7</v>
      </c>
      <c r="Y2" s="52" t="s">
        <v>9</v>
      </c>
      <c r="Z2" s="52"/>
      <c r="AA2" s="52"/>
      <c r="AB2" s="52"/>
      <c r="AC2" s="52"/>
      <c r="AD2" s="52" t="s">
        <v>10</v>
      </c>
      <c r="AE2" s="52"/>
      <c r="AF2" s="52"/>
      <c r="AG2" s="52"/>
      <c r="AH2" s="52"/>
      <c r="AI2" s="51" t="s">
        <v>11</v>
      </c>
      <c r="AJ2" s="51" t="s">
        <v>8</v>
      </c>
      <c r="AK2" s="52" t="s">
        <v>12</v>
      </c>
      <c r="AL2" s="52"/>
      <c r="AM2" s="52"/>
      <c r="AN2" s="52"/>
      <c r="AO2" s="52"/>
      <c r="AP2" s="52" t="s">
        <v>13</v>
      </c>
      <c r="AQ2" s="52"/>
      <c r="AR2" s="52"/>
      <c r="AS2" s="52"/>
      <c r="AT2" s="52"/>
      <c r="AU2" s="51" t="s">
        <v>14</v>
      </c>
      <c r="AV2" s="51" t="s">
        <v>8</v>
      </c>
      <c r="AW2" s="52" t="s">
        <v>15</v>
      </c>
      <c r="AX2" s="52"/>
      <c r="AY2" s="52"/>
      <c r="AZ2" s="52"/>
      <c r="BA2" s="52"/>
      <c r="BB2" s="52" t="s">
        <v>16</v>
      </c>
      <c r="BC2" s="52"/>
      <c r="BD2" s="52"/>
      <c r="BE2" s="52"/>
      <c r="BF2" s="52"/>
      <c r="BG2" s="51" t="s">
        <v>17</v>
      </c>
      <c r="BH2" s="51" t="s">
        <v>8</v>
      </c>
      <c r="BI2" s="52" t="s">
        <v>18</v>
      </c>
      <c r="BJ2" s="52"/>
      <c r="BK2" s="52"/>
      <c r="BL2" s="52"/>
      <c r="BM2" s="52"/>
      <c r="BN2" s="52" t="s">
        <v>19</v>
      </c>
      <c r="BO2" s="52"/>
      <c r="BP2" s="52"/>
      <c r="BQ2" s="52"/>
      <c r="BR2" s="52"/>
      <c r="BS2" s="37" t="s">
        <v>20</v>
      </c>
      <c r="BT2" s="30"/>
      <c r="BU2" s="31"/>
      <c r="IL2" s="3"/>
      <c r="IM2" s="3"/>
      <c r="IN2" s="3"/>
      <c r="IO2" s="3"/>
      <c r="IP2" s="3"/>
      <c r="IQ2" s="3"/>
      <c r="IR2" s="3"/>
      <c r="IS2" s="3"/>
    </row>
    <row r="3" spans="1:253" s="2" customFormat="1" ht="12.75" customHeight="1" x14ac:dyDescent="0.2">
      <c r="A3" s="52"/>
      <c r="B3" s="52"/>
      <c r="C3" s="52" t="s">
        <v>21</v>
      </c>
      <c r="D3" s="52"/>
      <c r="E3" s="52" t="s">
        <v>22</v>
      </c>
      <c r="F3" s="52"/>
      <c r="G3" s="52" t="s">
        <v>23</v>
      </c>
      <c r="H3" s="52" t="s">
        <v>21</v>
      </c>
      <c r="I3" s="52"/>
      <c r="J3" s="52" t="s">
        <v>22</v>
      </c>
      <c r="K3" s="52"/>
      <c r="L3" s="52" t="s">
        <v>23</v>
      </c>
      <c r="M3" s="51"/>
      <c r="N3" s="52" t="s">
        <v>21</v>
      </c>
      <c r="O3" s="52"/>
      <c r="P3" s="52" t="s">
        <v>22</v>
      </c>
      <c r="Q3" s="52"/>
      <c r="R3" s="52" t="s">
        <v>23</v>
      </c>
      <c r="S3" s="52" t="s">
        <v>21</v>
      </c>
      <c r="T3" s="52"/>
      <c r="U3" s="52" t="s">
        <v>22</v>
      </c>
      <c r="V3" s="52"/>
      <c r="W3" s="52" t="s">
        <v>23</v>
      </c>
      <c r="X3" s="51"/>
      <c r="Y3" s="52" t="s">
        <v>21</v>
      </c>
      <c r="Z3" s="52"/>
      <c r="AA3" s="52" t="s">
        <v>22</v>
      </c>
      <c r="AB3" s="52"/>
      <c r="AC3" s="52" t="s">
        <v>23</v>
      </c>
      <c r="AD3" s="52" t="s">
        <v>21</v>
      </c>
      <c r="AE3" s="52"/>
      <c r="AF3" s="52" t="s">
        <v>22</v>
      </c>
      <c r="AG3" s="52"/>
      <c r="AH3" s="52" t="s">
        <v>23</v>
      </c>
      <c r="AI3" s="51"/>
      <c r="AJ3" s="51"/>
      <c r="AK3" s="52" t="s">
        <v>21</v>
      </c>
      <c r="AL3" s="52"/>
      <c r="AM3" s="52" t="s">
        <v>22</v>
      </c>
      <c r="AN3" s="52"/>
      <c r="AO3" s="52" t="s">
        <v>23</v>
      </c>
      <c r="AP3" s="52" t="s">
        <v>21</v>
      </c>
      <c r="AQ3" s="52"/>
      <c r="AR3" s="52" t="s">
        <v>22</v>
      </c>
      <c r="AS3" s="52"/>
      <c r="AT3" s="52" t="s">
        <v>23</v>
      </c>
      <c r="AU3" s="51"/>
      <c r="AV3" s="51"/>
      <c r="AW3" s="52" t="s">
        <v>21</v>
      </c>
      <c r="AX3" s="52"/>
      <c r="AY3" s="52" t="s">
        <v>22</v>
      </c>
      <c r="AZ3" s="52"/>
      <c r="BA3" s="52" t="s">
        <v>23</v>
      </c>
      <c r="BB3" s="52" t="s">
        <v>21</v>
      </c>
      <c r="BC3" s="52"/>
      <c r="BD3" s="52" t="s">
        <v>22</v>
      </c>
      <c r="BE3" s="52"/>
      <c r="BF3" s="52" t="s">
        <v>23</v>
      </c>
      <c r="BG3" s="51"/>
      <c r="BH3" s="51"/>
      <c r="BI3" s="52" t="s">
        <v>21</v>
      </c>
      <c r="BJ3" s="52"/>
      <c r="BK3" s="52" t="s">
        <v>22</v>
      </c>
      <c r="BL3" s="52"/>
      <c r="BM3" s="52"/>
      <c r="BN3" s="52" t="s">
        <v>21</v>
      </c>
      <c r="BO3" s="52"/>
      <c r="BP3" s="52" t="s">
        <v>22</v>
      </c>
      <c r="BQ3" s="52"/>
      <c r="BR3" s="52"/>
      <c r="BS3" s="55" t="s">
        <v>41</v>
      </c>
      <c r="BT3" s="32"/>
      <c r="BU3" s="33"/>
      <c r="IL3" s="3"/>
      <c r="IM3" s="3"/>
      <c r="IN3" s="3"/>
      <c r="IO3" s="3"/>
      <c r="IP3" s="3"/>
      <c r="IQ3" s="3"/>
      <c r="IR3" s="3"/>
      <c r="IS3" s="3"/>
    </row>
    <row r="4" spans="1:253" s="2" customFormat="1" ht="17.100000000000001" customHeight="1" x14ac:dyDescent="0.2">
      <c r="A4" s="52"/>
      <c r="B4" s="52"/>
      <c r="C4" s="1" t="s">
        <v>24</v>
      </c>
      <c r="D4" s="1" t="s">
        <v>25</v>
      </c>
      <c r="E4" s="1" t="s">
        <v>24</v>
      </c>
      <c r="F4" s="1" t="s">
        <v>25</v>
      </c>
      <c r="G4" s="52"/>
      <c r="H4" s="1" t="s">
        <v>24</v>
      </c>
      <c r="I4" s="1" t="s">
        <v>25</v>
      </c>
      <c r="J4" s="1" t="s">
        <v>24</v>
      </c>
      <c r="K4" s="1" t="s">
        <v>25</v>
      </c>
      <c r="L4" s="52"/>
      <c r="M4" s="51"/>
      <c r="N4" s="1" t="s">
        <v>24</v>
      </c>
      <c r="O4" s="1" t="s">
        <v>25</v>
      </c>
      <c r="P4" s="1" t="s">
        <v>24</v>
      </c>
      <c r="Q4" s="1" t="s">
        <v>25</v>
      </c>
      <c r="R4" s="52"/>
      <c r="S4" s="1" t="s">
        <v>24</v>
      </c>
      <c r="T4" s="1" t="s">
        <v>25</v>
      </c>
      <c r="U4" s="1" t="s">
        <v>24</v>
      </c>
      <c r="V4" s="1" t="s">
        <v>25</v>
      </c>
      <c r="W4" s="52"/>
      <c r="X4" s="51"/>
      <c r="Y4" s="1" t="s">
        <v>24</v>
      </c>
      <c r="Z4" s="1" t="s">
        <v>25</v>
      </c>
      <c r="AA4" s="1" t="s">
        <v>24</v>
      </c>
      <c r="AB4" s="1" t="s">
        <v>25</v>
      </c>
      <c r="AC4" s="52"/>
      <c r="AD4" s="1" t="s">
        <v>24</v>
      </c>
      <c r="AE4" s="1" t="s">
        <v>25</v>
      </c>
      <c r="AF4" s="1" t="s">
        <v>24</v>
      </c>
      <c r="AG4" s="1" t="s">
        <v>25</v>
      </c>
      <c r="AH4" s="52"/>
      <c r="AI4" s="51"/>
      <c r="AJ4" s="51"/>
      <c r="AK4" s="1" t="s">
        <v>24</v>
      </c>
      <c r="AL4" s="1" t="s">
        <v>25</v>
      </c>
      <c r="AM4" s="1" t="s">
        <v>24</v>
      </c>
      <c r="AN4" s="1" t="s">
        <v>25</v>
      </c>
      <c r="AO4" s="52"/>
      <c r="AP4" s="1" t="s">
        <v>24</v>
      </c>
      <c r="AQ4" s="1" t="s">
        <v>25</v>
      </c>
      <c r="AR4" s="1" t="s">
        <v>24</v>
      </c>
      <c r="AS4" s="1" t="s">
        <v>25</v>
      </c>
      <c r="AT4" s="52"/>
      <c r="AU4" s="51"/>
      <c r="AV4" s="51"/>
      <c r="AW4" s="1" t="s">
        <v>24</v>
      </c>
      <c r="AX4" s="1" t="s">
        <v>25</v>
      </c>
      <c r="AY4" s="1" t="s">
        <v>24</v>
      </c>
      <c r="AZ4" s="1" t="s">
        <v>25</v>
      </c>
      <c r="BA4" s="52"/>
      <c r="BB4" s="1" t="s">
        <v>24</v>
      </c>
      <c r="BC4" s="1" t="s">
        <v>25</v>
      </c>
      <c r="BD4" s="1" t="s">
        <v>24</v>
      </c>
      <c r="BE4" s="1" t="s">
        <v>25</v>
      </c>
      <c r="BF4" s="52"/>
      <c r="BG4" s="51"/>
      <c r="BH4" s="51"/>
      <c r="BI4" s="1" t="s">
        <v>24</v>
      </c>
      <c r="BJ4" s="1" t="s">
        <v>25</v>
      </c>
      <c r="BK4" s="1" t="s">
        <v>24</v>
      </c>
      <c r="BL4" s="1" t="s">
        <v>25</v>
      </c>
      <c r="BM4" s="4" t="s">
        <v>23</v>
      </c>
      <c r="BN4" s="1" t="s">
        <v>24</v>
      </c>
      <c r="BO4" s="1" t="s">
        <v>25</v>
      </c>
      <c r="BP4" s="1" t="s">
        <v>24</v>
      </c>
      <c r="BQ4" s="1" t="s">
        <v>25</v>
      </c>
      <c r="BR4" s="4" t="s">
        <v>23</v>
      </c>
      <c r="BS4" s="56"/>
      <c r="BT4" s="1" t="s">
        <v>25</v>
      </c>
      <c r="BU4" s="4" t="s">
        <v>23</v>
      </c>
      <c r="IL4" s="3"/>
      <c r="IM4" s="3"/>
      <c r="IN4" s="3"/>
      <c r="IO4" s="3"/>
      <c r="IP4" s="3"/>
      <c r="IQ4" s="3"/>
      <c r="IR4" s="3"/>
      <c r="IS4" s="3"/>
    </row>
    <row r="5" spans="1:253" s="2" customFormat="1" ht="12.75" customHeight="1" x14ac:dyDescent="0.2">
      <c r="A5" s="5" t="s">
        <v>26</v>
      </c>
      <c r="B5" s="5">
        <v>27360000</v>
      </c>
      <c r="C5" s="6">
        <f>3000000+200000</f>
        <v>3200000</v>
      </c>
      <c r="D5" s="6">
        <v>3035778.56</v>
      </c>
      <c r="E5" s="6"/>
      <c r="F5" s="6"/>
      <c r="G5" s="6">
        <f>C5-D5</f>
        <v>164221.43999999994</v>
      </c>
      <c r="H5" s="6">
        <f>3000000+G5</f>
        <v>3164221.4399999999</v>
      </c>
      <c r="I5" s="6">
        <v>3076254.69</v>
      </c>
      <c r="J5" s="6"/>
      <c r="K5" s="6"/>
      <c r="L5" s="6">
        <f>H5-I5</f>
        <v>87966.75</v>
      </c>
      <c r="M5" s="7">
        <f>SUM(D5+I5)</f>
        <v>6112033.25</v>
      </c>
      <c r="N5" s="6">
        <f>2800000+L5</f>
        <v>2887966.75</v>
      </c>
      <c r="O5" s="6">
        <v>2851459.9</v>
      </c>
      <c r="P5" s="6"/>
      <c r="Q5" s="6"/>
      <c r="R5" s="6">
        <f>N5-O5</f>
        <v>36506.850000000093</v>
      </c>
      <c r="S5" s="6">
        <f>2800000+R5+20000</f>
        <v>2856506.85</v>
      </c>
      <c r="T5" s="6">
        <v>2852852.19</v>
      </c>
      <c r="U5" s="6"/>
      <c r="V5" s="6"/>
      <c r="W5" s="6">
        <f>S5-T5</f>
        <v>3654.660000000149</v>
      </c>
      <c r="X5" s="9">
        <f>O5+T5</f>
        <v>5704312.0899999999</v>
      </c>
      <c r="Y5" s="8">
        <f>2800000+W5+100000</f>
        <v>2903654.66</v>
      </c>
      <c r="Z5" s="8">
        <v>2872583.79</v>
      </c>
      <c r="AA5" s="8"/>
      <c r="AB5" s="8"/>
      <c r="AC5" s="8">
        <f>Y5-Z5</f>
        <v>31070.870000000112</v>
      </c>
      <c r="AD5" s="8">
        <f>2500000+AC5</f>
        <v>2531070.87</v>
      </c>
      <c r="AE5" s="8">
        <v>1616937.11</v>
      </c>
      <c r="AF5" s="8"/>
      <c r="AG5" s="8"/>
      <c r="AH5" s="8">
        <f>AD5-AE5</f>
        <v>914133.76</v>
      </c>
      <c r="AI5" s="7">
        <f>Z5+AE5</f>
        <v>4489520.9000000004</v>
      </c>
      <c r="AJ5" s="8" t="e">
        <f>#REF!+AI5</f>
        <v>#REF!</v>
      </c>
      <c r="AK5" s="8">
        <f>2500000+AH5</f>
        <v>3414133.76</v>
      </c>
      <c r="AL5" s="8"/>
      <c r="AM5" s="8"/>
      <c r="AN5" s="8"/>
      <c r="AO5" s="8">
        <f>AK5-AL5</f>
        <v>3414133.76</v>
      </c>
      <c r="AP5" s="8">
        <v>1600000</v>
      </c>
      <c r="AQ5" s="8"/>
      <c r="AR5" s="8"/>
      <c r="AS5" s="8"/>
      <c r="AT5" s="8">
        <f>AP5-AQ5</f>
        <v>1600000</v>
      </c>
      <c r="AU5" s="7">
        <f>AK5+AP5</f>
        <v>5014133.76</v>
      </c>
      <c r="AV5" s="10" t="e">
        <f t="shared" ref="AV5:AV22" si="0">AJ5+AU5</f>
        <v>#REF!</v>
      </c>
      <c r="AW5" s="8">
        <v>1600000</v>
      </c>
      <c r="AX5" s="8"/>
      <c r="AY5" s="8"/>
      <c r="AZ5" s="8"/>
      <c r="BA5" s="8">
        <f>AW5-AX5</f>
        <v>1600000</v>
      </c>
      <c r="BB5" s="8">
        <v>1600000</v>
      </c>
      <c r="BC5" s="8"/>
      <c r="BD5" s="8"/>
      <c r="BE5" s="8"/>
      <c r="BF5" s="8">
        <f>BB5-BC5</f>
        <v>1600000</v>
      </c>
      <c r="BG5" s="7">
        <f>AW5+BB5</f>
        <v>3200000</v>
      </c>
      <c r="BH5" s="10"/>
      <c r="BI5" s="8">
        <v>1600000</v>
      </c>
      <c r="BJ5" s="8"/>
      <c r="BK5" s="8"/>
      <c r="BL5" s="8"/>
      <c r="BM5" s="8"/>
      <c r="BN5" s="8">
        <f>1560000-200000-20000-100000</f>
        <v>1240000</v>
      </c>
      <c r="BO5" s="8"/>
      <c r="BP5" s="8"/>
      <c r="BQ5" s="8"/>
      <c r="BR5" s="10"/>
      <c r="BS5" s="9">
        <f>M5+X5+AI5+AU5+BG5+BI5+BN5</f>
        <v>27360000</v>
      </c>
      <c r="BT5" s="9">
        <f>F5+K5+Q5+V5+AB5+AG5+AN5+AS5+AZ5+BE5+BL5+BQ5</f>
        <v>0</v>
      </c>
      <c r="BU5" s="11">
        <f>BS5-BT5</f>
        <v>27360000</v>
      </c>
      <c r="IL5" s="3"/>
      <c r="IM5" s="3"/>
      <c r="IN5" s="3"/>
      <c r="IO5" s="3"/>
      <c r="IP5" s="3"/>
      <c r="IQ5" s="3"/>
      <c r="IR5" s="3"/>
      <c r="IS5" s="3"/>
    </row>
    <row r="6" spans="1:253" s="2" customFormat="1" ht="12.75" customHeight="1" x14ac:dyDescent="0.2">
      <c r="A6" s="5" t="s">
        <v>42</v>
      </c>
      <c r="B6" s="5">
        <v>18875500</v>
      </c>
      <c r="C6" s="6"/>
      <c r="D6" s="7"/>
      <c r="E6" s="6">
        <f>3686649.4+1978000</f>
        <v>5664649.4000000004</v>
      </c>
      <c r="F6" s="6">
        <v>1365735.49</v>
      </c>
      <c r="G6" s="6">
        <f>E6-F6</f>
        <v>4298913.91</v>
      </c>
      <c r="H6" s="12"/>
      <c r="I6" s="6"/>
      <c r="J6" s="6">
        <f>1719558.05+G6+30600</f>
        <v>6049071.96</v>
      </c>
      <c r="K6" s="6">
        <v>1381283.6</v>
      </c>
      <c r="L6" s="6">
        <f>J6-K6</f>
        <v>4667788.3599999994</v>
      </c>
      <c r="M6" s="7">
        <f>F6+K6</f>
        <v>2747019.09</v>
      </c>
      <c r="N6" s="13"/>
      <c r="O6" s="13"/>
      <c r="P6" s="6">
        <f>1665913.89+L6+38000</f>
        <v>6371702.2499999991</v>
      </c>
      <c r="Q6" s="6">
        <v>1492743.48</v>
      </c>
      <c r="R6" s="6">
        <f>P6-Q6</f>
        <v>4878958.7699999996</v>
      </c>
      <c r="S6" s="12"/>
      <c r="T6" s="12"/>
      <c r="U6" s="6">
        <f>1454262.9+R6+266850</f>
        <v>6600071.6699999999</v>
      </c>
      <c r="V6" s="6">
        <v>1501609.83</v>
      </c>
      <c r="W6" s="6">
        <f>U6-V6</f>
        <v>5098461.84</v>
      </c>
      <c r="X6" s="9">
        <f>Q6+V6</f>
        <v>2994353.31</v>
      </c>
      <c r="Y6" s="8"/>
      <c r="Z6" s="8"/>
      <c r="AA6" s="8">
        <f>1250841.64+W6+86000</f>
        <v>6435303.4799999995</v>
      </c>
      <c r="AB6" s="8">
        <v>1674002.06</v>
      </c>
      <c r="AC6" s="8">
        <f>AA6-AB6</f>
        <v>4761301.42</v>
      </c>
      <c r="AD6" s="10"/>
      <c r="AE6" s="10"/>
      <c r="AF6" s="8">
        <f>1358469.74+AC6+172600</f>
        <v>6292371.1600000001</v>
      </c>
      <c r="AG6" s="8">
        <v>1604668.36</v>
      </c>
      <c r="AH6" s="8">
        <f t="shared" ref="AH6:AH23" si="1">AF6-AG6</f>
        <v>4687702.8</v>
      </c>
      <c r="AI6" s="7">
        <f>AB6+AG6</f>
        <v>3278670.42</v>
      </c>
      <c r="AJ6" s="8" t="e">
        <f>#REF!+AI6</f>
        <v>#REF!</v>
      </c>
      <c r="AK6" s="10"/>
      <c r="AL6" s="8"/>
      <c r="AM6" s="8">
        <f>1330269.73+AH6</f>
        <v>6017972.5299999993</v>
      </c>
      <c r="AN6" s="8"/>
      <c r="AO6" s="8">
        <f>AM6-AN6</f>
        <v>6017972.5299999993</v>
      </c>
      <c r="AP6" s="10"/>
      <c r="AQ6" s="10"/>
      <c r="AR6" s="8">
        <v>1471269.73</v>
      </c>
      <c r="AS6" s="8"/>
      <c r="AT6" s="8">
        <f>AR6-AS6</f>
        <v>1471269.73</v>
      </c>
      <c r="AU6" s="7">
        <f>AM6+AR6</f>
        <v>7489242.2599999998</v>
      </c>
      <c r="AV6" s="10" t="e">
        <f t="shared" si="0"/>
        <v>#REF!</v>
      </c>
      <c r="AW6" s="10"/>
      <c r="AX6" s="10"/>
      <c r="AY6" s="8">
        <v>1278267.73</v>
      </c>
      <c r="AZ6" s="8"/>
      <c r="BA6" s="8">
        <f>AY6-AZ6</f>
        <v>1278267.73</v>
      </c>
      <c r="BB6" s="10"/>
      <c r="BC6" s="10"/>
      <c r="BD6" s="8">
        <v>1340877.77</v>
      </c>
      <c r="BE6" s="8"/>
      <c r="BF6" s="8">
        <f>BD6-BE6</f>
        <v>1340877.77</v>
      </c>
      <c r="BG6" s="7">
        <f>BA6+BF6</f>
        <v>2619145.5</v>
      </c>
      <c r="BH6" s="10"/>
      <c r="BI6" s="10"/>
      <c r="BJ6" s="10"/>
      <c r="BK6" s="8">
        <v>1373419.13</v>
      </c>
      <c r="BL6" s="8"/>
      <c r="BM6" s="10"/>
      <c r="BN6" s="10"/>
      <c r="BO6" s="10"/>
      <c r="BP6" s="8">
        <v>945700.29</v>
      </c>
      <c r="BQ6" s="8"/>
      <c r="BR6" s="10"/>
      <c r="BS6" s="9">
        <f>M6+X6+AI6+AU6+BG6+BK6+BP6</f>
        <v>21447549.999999996</v>
      </c>
      <c r="BT6" s="9">
        <f>F6+K6+Q6+V6+AB6+AG6+AN6+AS6+AZ6+BE6+BL6+BQ6</f>
        <v>9020042.8200000003</v>
      </c>
      <c r="BU6" s="11">
        <f>BS6-BT6</f>
        <v>12427507.179999996</v>
      </c>
      <c r="IL6" s="3"/>
      <c r="IM6" s="3"/>
      <c r="IN6" s="3"/>
      <c r="IO6" s="3"/>
      <c r="IP6" s="3"/>
      <c r="IQ6" s="3"/>
      <c r="IR6" s="3"/>
      <c r="IS6" s="3"/>
    </row>
    <row r="7" spans="1:253" s="2" customFormat="1" ht="12.75" customHeight="1" x14ac:dyDescent="0.2">
      <c r="A7" s="5" t="s">
        <v>37</v>
      </c>
      <c r="B7" s="5">
        <v>4521000</v>
      </c>
      <c r="C7" s="6"/>
      <c r="D7" s="7"/>
      <c r="E7" s="6">
        <f>883014.59+52000</f>
        <v>935014.59</v>
      </c>
      <c r="F7" s="6">
        <v>343708.66</v>
      </c>
      <c r="G7" s="6">
        <f t="shared" ref="G7:G23" si="2">E7-F7</f>
        <v>591305.92999999993</v>
      </c>
      <c r="H7" s="12"/>
      <c r="I7" s="6"/>
      <c r="J7" s="6">
        <f>411863.1+G7</f>
        <v>1003169.0299999999</v>
      </c>
      <c r="K7" s="6">
        <v>372483.43</v>
      </c>
      <c r="L7" s="6">
        <f t="shared" ref="L7:L23" si="3">J7-K7</f>
        <v>630685.59999999986</v>
      </c>
      <c r="M7" s="7">
        <f t="shared" ref="M7:M19" si="4">F7+K7</f>
        <v>716192.09</v>
      </c>
      <c r="N7" s="13"/>
      <c r="O7" s="13"/>
      <c r="P7" s="6">
        <f>399014.42+L7+200</f>
        <v>1029900.0199999998</v>
      </c>
      <c r="Q7" s="6">
        <v>356439.32</v>
      </c>
      <c r="R7" s="6">
        <f t="shared" ref="R7:R23" si="5">P7-Q7</f>
        <v>673460.69999999972</v>
      </c>
      <c r="S7" s="12"/>
      <c r="T7" s="12"/>
      <c r="U7" s="6">
        <f>348320.44+R7+13000</f>
        <v>1034781.1399999997</v>
      </c>
      <c r="V7" s="6">
        <v>345430.52</v>
      </c>
      <c r="W7" s="6">
        <f>U7-V7</f>
        <v>689350.61999999965</v>
      </c>
      <c r="X7" s="9">
        <f t="shared" ref="X7:X19" si="6">Q7+V7</f>
        <v>701869.84000000008</v>
      </c>
      <c r="Y7" s="8"/>
      <c r="Z7" s="8"/>
      <c r="AA7" s="8">
        <f>299597.63+W7</f>
        <v>988948.24999999965</v>
      </c>
      <c r="AB7" s="8">
        <v>337658.99</v>
      </c>
      <c r="AC7" s="8">
        <f t="shared" ref="AC7:AC23" si="7">AA7-AB7</f>
        <v>651289.25999999966</v>
      </c>
      <c r="AD7" s="10"/>
      <c r="AE7" s="10"/>
      <c r="AF7" s="8">
        <f>325376.37+AC7</f>
        <v>976665.62999999966</v>
      </c>
      <c r="AG7" s="8">
        <v>346611.14</v>
      </c>
      <c r="AH7" s="8">
        <f t="shared" si="1"/>
        <v>630054.48999999964</v>
      </c>
      <c r="AI7" s="7">
        <f>AB7+AG7</f>
        <v>684270.13</v>
      </c>
      <c r="AJ7" s="8"/>
      <c r="AK7" s="10"/>
      <c r="AL7" s="8"/>
      <c r="AM7" s="8">
        <f>318622+AH7</f>
        <v>948676.48999999964</v>
      </c>
      <c r="AN7" s="8"/>
      <c r="AO7" s="8">
        <f>AM7-AN7</f>
        <v>948676.48999999964</v>
      </c>
      <c r="AP7" s="10"/>
      <c r="AQ7" s="10"/>
      <c r="AR7" s="8">
        <v>352393.87</v>
      </c>
      <c r="AS7" s="8"/>
      <c r="AT7" s="8">
        <f t="shared" ref="AT7:AT23" si="8">AR7-AS7</f>
        <v>352393.87</v>
      </c>
      <c r="AU7" s="7">
        <f t="shared" ref="AU7:AU19" si="9">AM7+AR7</f>
        <v>1301070.3599999996</v>
      </c>
      <c r="AV7" s="10"/>
      <c r="AW7" s="10"/>
      <c r="AX7" s="10"/>
      <c r="AY7" s="8">
        <v>306166.64</v>
      </c>
      <c r="AZ7" s="8"/>
      <c r="BA7" s="8">
        <f t="shared" ref="BA7:BA23" si="10">AY7-AZ7</f>
        <v>306166.64</v>
      </c>
      <c r="BB7" s="10"/>
      <c r="BC7" s="10"/>
      <c r="BD7" s="8">
        <v>321162.8</v>
      </c>
      <c r="BE7" s="8"/>
      <c r="BF7" s="8">
        <f t="shared" ref="BF7:BF23" si="11">BD7-BE7</f>
        <v>321162.8</v>
      </c>
      <c r="BG7" s="7">
        <f t="shared" ref="BG7:BG19" si="12">BA7+BF7</f>
        <v>627329.43999999994</v>
      </c>
      <c r="BH7" s="10"/>
      <c r="BI7" s="10"/>
      <c r="BJ7" s="10"/>
      <c r="BK7" s="8">
        <v>328957</v>
      </c>
      <c r="BL7" s="8"/>
      <c r="BM7" s="10"/>
      <c r="BN7" s="10"/>
      <c r="BO7" s="10"/>
      <c r="BP7" s="8">
        <v>226511.14</v>
      </c>
      <c r="BQ7" s="8"/>
      <c r="BR7" s="10"/>
      <c r="BS7" s="9">
        <f t="shared" ref="BS7:BS19" si="13">M7+X7+AI7+AU7+BG7+BK7+BP7</f>
        <v>4586199.9999999991</v>
      </c>
      <c r="BT7" s="9"/>
      <c r="BU7" s="11"/>
      <c r="IL7" s="3"/>
      <c r="IM7" s="3"/>
      <c r="IN7" s="3"/>
      <c r="IO7" s="3"/>
      <c r="IP7" s="3"/>
      <c r="IQ7" s="3"/>
      <c r="IR7" s="3"/>
      <c r="IS7" s="3"/>
    </row>
    <row r="8" spans="1:253" s="2" customFormat="1" ht="12.75" customHeight="1" x14ac:dyDescent="0.2">
      <c r="A8" s="5" t="s">
        <v>38</v>
      </c>
      <c r="B8" s="5">
        <v>33631000</v>
      </c>
      <c r="C8" s="6"/>
      <c r="D8" s="7"/>
      <c r="E8" s="6">
        <f>6568605.12+111436.23</f>
        <v>6680041.3500000006</v>
      </c>
      <c r="F8" s="6">
        <v>798676.65</v>
      </c>
      <c r="G8" s="6">
        <f t="shared" si="2"/>
        <v>5881364.7000000002</v>
      </c>
      <c r="H8" s="12"/>
      <c r="I8" s="6"/>
      <c r="J8" s="6">
        <f>3063784.1+G8</f>
        <v>8945148.8000000007</v>
      </c>
      <c r="K8" s="6">
        <v>780209.15</v>
      </c>
      <c r="L8" s="6">
        <f t="shared" si="3"/>
        <v>8164939.6500000004</v>
      </c>
      <c r="M8" s="7">
        <f t="shared" si="4"/>
        <v>1578885.8</v>
      </c>
      <c r="N8" s="13"/>
      <c r="O8" s="13"/>
      <c r="P8" s="6">
        <f>2968204.8+L8+20000</f>
        <v>11153144.449999999</v>
      </c>
      <c r="Q8" s="6">
        <v>956701.51</v>
      </c>
      <c r="R8" s="6">
        <f t="shared" si="5"/>
        <v>10196442.939999999</v>
      </c>
      <c r="S8" s="12"/>
      <c r="T8" s="12"/>
      <c r="U8" s="6">
        <f>2591100.4+R8+1628090</f>
        <v>14415633.34</v>
      </c>
      <c r="V8" s="6">
        <v>844575.45</v>
      </c>
      <c r="W8" s="6">
        <f t="shared" ref="W8:W23" si="14">U8-V8</f>
        <v>13571057.890000001</v>
      </c>
      <c r="X8" s="9">
        <f t="shared" si="6"/>
        <v>1801276.96</v>
      </c>
      <c r="Y8" s="8"/>
      <c r="Z8" s="8"/>
      <c r="AA8" s="8">
        <f>2228659.11+W8</f>
        <v>15799717</v>
      </c>
      <c r="AB8" s="8">
        <v>936557.19</v>
      </c>
      <c r="AC8" s="8">
        <f t="shared" si="7"/>
        <v>14863159.810000001</v>
      </c>
      <c r="AD8" s="10"/>
      <c r="AE8" s="10"/>
      <c r="AF8" s="8">
        <f>2420423.07+AC8+66000</f>
        <v>17349582.879999999</v>
      </c>
      <c r="AG8" s="8">
        <v>914102.25</v>
      </c>
      <c r="AH8" s="8">
        <f>AF8-AG8</f>
        <v>16435480.629999999</v>
      </c>
      <c r="AI8" s="7">
        <f t="shared" ref="AI8:AI19" si="15">AB8+AG8</f>
        <v>1850659.44</v>
      </c>
      <c r="AJ8" s="8"/>
      <c r="AK8" s="10"/>
      <c r="AL8" s="8"/>
      <c r="AM8" s="8">
        <f>2370178.36+AH8</f>
        <v>18805658.989999998</v>
      </c>
      <c r="AN8" s="8"/>
      <c r="AO8" s="8">
        <f t="shared" ref="AO8:AO23" si="16">AM8-AN8</f>
        <v>18805658.989999998</v>
      </c>
      <c r="AP8" s="10"/>
      <c r="AQ8" s="10"/>
      <c r="AR8" s="8">
        <v>2621401.9300000002</v>
      </c>
      <c r="AS8" s="8"/>
      <c r="AT8" s="8">
        <f t="shared" si="8"/>
        <v>2621401.9300000002</v>
      </c>
      <c r="AU8" s="7">
        <f t="shared" si="9"/>
        <v>21427060.919999998</v>
      </c>
      <c r="AV8" s="10"/>
      <c r="AW8" s="10"/>
      <c r="AX8" s="10"/>
      <c r="AY8" s="8">
        <v>2277524.9500000002</v>
      </c>
      <c r="AZ8" s="8"/>
      <c r="BA8" s="8">
        <f t="shared" si="10"/>
        <v>2277524.9500000002</v>
      </c>
      <c r="BB8" s="10"/>
      <c r="BC8" s="10"/>
      <c r="BD8" s="8">
        <v>2389078.9700000002</v>
      </c>
      <c r="BE8" s="8"/>
      <c r="BF8" s="8">
        <f t="shared" si="11"/>
        <v>2389078.9700000002</v>
      </c>
      <c r="BG8" s="7">
        <f t="shared" si="12"/>
        <v>4666603.92</v>
      </c>
      <c r="BH8" s="10"/>
      <c r="BI8" s="10"/>
      <c r="BJ8" s="10"/>
      <c r="BK8" s="8">
        <v>2447058.83</v>
      </c>
      <c r="BL8" s="8"/>
      <c r="BM8" s="10"/>
      <c r="BN8" s="10"/>
      <c r="BO8" s="10"/>
      <c r="BP8" s="8">
        <v>1684980.36</v>
      </c>
      <c r="BQ8" s="8"/>
      <c r="BR8" s="10"/>
      <c r="BS8" s="9">
        <f t="shared" si="13"/>
        <v>35456526.229999997</v>
      </c>
      <c r="BT8" s="9"/>
      <c r="BU8" s="11"/>
      <c r="IL8" s="3"/>
      <c r="IM8" s="3"/>
      <c r="IN8" s="3"/>
      <c r="IO8" s="3"/>
      <c r="IP8" s="3"/>
      <c r="IQ8" s="3"/>
      <c r="IR8" s="3"/>
      <c r="IS8" s="3"/>
    </row>
    <row r="9" spans="1:253" s="2" customFormat="1" ht="12.75" customHeight="1" x14ac:dyDescent="0.2">
      <c r="A9" s="5" t="s">
        <v>28</v>
      </c>
      <c r="B9" s="5">
        <v>17844000</v>
      </c>
      <c r="C9" s="6"/>
      <c r="D9" s="7"/>
      <c r="E9" s="6">
        <v>3485183.01</v>
      </c>
      <c r="F9" s="6">
        <v>1688842.81</v>
      </c>
      <c r="G9" s="6">
        <f t="shared" si="2"/>
        <v>1796340.1999999997</v>
      </c>
      <c r="H9" s="12"/>
      <c r="I9" s="6"/>
      <c r="J9" s="6">
        <f>1625588.4+G9+270000</f>
        <v>3691928.5999999996</v>
      </c>
      <c r="K9" s="6">
        <v>1151845.3400000001</v>
      </c>
      <c r="L9" s="6">
        <f t="shared" si="3"/>
        <v>2540083.2599999998</v>
      </c>
      <c r="M9" s="7">
        <f t="shared" si="4"/>
        <v>2840688.1500000004</v>
      </c>
      <c r="N9" s="13"/>
      <c r="O9" s="13"/>
      <c r="P9" s="6">
        <f>1574875.76+L9+220000</f>
        <v>4334959.0199999996</v>
      </c>
      <c r="Q9" s="6">
        <v>1504427.04</v>
      </c>
      <c r="R9" s="6">
        <f t="shared" si="5"/>
        <v>2830531.9799999995</v>
      </c>
      <c r="S9" s="12"/>
      <c r="T9" s="12"/>
      <c r="U9" s="6">
        <f>1374790.98+R9+20000</f>
        <v>4225322.959999999</v>
      </c>
      <c r="V9" s="6">
        <v>1301514.8</v>
      </c>
      <c r="W9" s="6">
        <f t="shared" si="14"/>
        <v>2923808.1599999992</v>
      </c>
      <c r="X9" s="9">
        <f t="shared" si="6"/>
        <v>2805941.84</v>
      </c>
      <c r="Y9" s="8"/>
      <c r="Z9" s="8"/>
      <c r="AA9" s="8">
        <f>1182486.2+W9+200000</f>
        <v>4306294.3599999994</v>
      </c>
      <c r="AB9" s="8">
        <v>1208012.27</v>
      </c>
      <c r="AC9" s="8">
        <f t="shared" si="7"/>
        <v>3098282.0899999994</v>
      </c>
      <c r="AD9" s="10"/>
      <c r="AE9" s="10"/>
      <c r="AF9" s="8">
        <f>1284232.68+AC9+25000</f>
        <v>4407514.7699999996</v>
      </c>
      <c r="AG9" s="8">
        <v>1141198.1100000001</v>
      </c>
      <c r="AH9" s="8">
        <f t="shared" si="1"/>
        <v>3266316.6599999992</v>
      </c>
      <c r="AI9" s="7">
        <f t="shared" si="15"/>
        <v>2349210.38</v>
      </c>
      <c r="AJ9" s="8" t="e">
        <f>#REF!+AI9</f>
        <v>#REF!</v>
      </c>
      <c r="AK9" s="10"/>
      <c r="AL9" s="8"/>
      <c r="AM9" s="8">
        <f>1257573.74+AH9</f>
        <v>4523890.3999999994</v>
      </c>
      <c r="AN9" s="8"/>
      <c r="AO9" s="8">
        <f t="shared" si="16"/>
        <v>4523890.3999999994</v>
      </c>
      <c r="AP9" s="10"/>
      <c r="AQ9" s="10"/>
      <c r="AR9" s="8">
        <v>1390868.42</v>
      </c>
      <c r="AS9" s="8"/>
      <c r="AT9" s="8">
        <f t="shared" si="8"/>
        <v>1390868.42</v>
      </c>
      <c r="AU9" s="7">
        <f t="shared" si="9"/>
        <v>5914758.8199999994</v>
      </c>
      <c r="AV9" s="10" t="e">
        <f t="shared" si="0"/>
        <v>#REF!</v>
      </c>
      <c r="AW9" s="10"/>
      <c r="AX9" s="10"/>
      <c r="AY9" s="8">
        <v>1208413.53</v>
      </c>
      <c r="AZ9" s="8"/>
      <c r="BA9" s="8">
        <f t="shared" si="10"/>
        <v>1208413.53</v>
      </c>
      <c r="BB9" s="10"/>
      <c r="BC9" s="10"/>
      <c r="BD9" s="8">
        <v>1267602.08</v>
      </c>
      <c r="BE9" s="8"/>
      <c r="BF9" s="8">
        <f t="shared" si="11"/>
        <v>1267602.08</v>
      </c>
      <c r="BG9" s="7">
        <f t="shared" si="12"/>
        <v>2476015.6100000003</v>
      </c>
      <c r="BH9" s="10"/>
      <c r="BI9" s="10"/>
      <c r="BJ9" s="10"/>
      <c r="BK9" s="8">
        <v>1298365.1200000001</v>
      </c>
      <c r="BL9" s="8"/>
      <c r="BM9" s="10"/>
      <c r="BN9" s="10"/>
      <c r="BO9" s="10"/>
      <c r="BP9" s="8">
        <v>894020.08</v>
      </c>
      <c r="BQ9" s="8"/>
      <c r="BR9" s="10"/>
      <c r="BS9" s="9">
        <f t="shared" si="13"/>
        <v>18579000</v>
      </c>
      <c r="BT9" s="9"/>
      <c r="BU9" s="11"/>
      <c r="IL9" s="3"/>
      <c r="IM9" s="3"/>
      <c r="IN9" s="3"/>
      <c r="IO9" s="3"/>
      <c r="IP9" s="3"/>
      <c r="IQ9" s="3"/>
      <c r="IR9" s="3"/>
      <c r="IS9" s="3"/>
    </row>
    <row r="10" spans="1:253" s="2" customFormat="1" ht="12.75" customHeight="1" x14ac:dyDescent="0.2">
      <c r="A10" s="5" t="s">
        <v>39</v>
      </c>
      <c r="B10" s="5">
        <v>106515327.79000001</v>
      </c>
      <c r="C10" s="6"/>
      <c r="D10" s="7"/>
      <c r="E10" s="6">
        <f>20803934.68+9497143.72</f>
        <v>30301078.399999999</v>
      </c>
      <c r="F10" s="6">
        <v>8664686.6300000008</v>
      </c>
      <c r="G10" s="6">
        <f t="shared" si="2"/>
        <v>21636391.769999996</v>
      </c>
      <c r="H10" s="12"/>
      <c r="I10" s="6"/>
      <c r="J10" s="6">
        <f>9703546.36+G10+1322685.35</f>
        <v>32662623.479999997</v>
      </c>
      <c r="K10" s="6">
        <v>9732303.5899999999</v>
      </c>
      <c r="L10" s="6">
        <f t="shared" si="3"/>
        <v>22930319.889999997</v>
      </c>
      <c r="M10" s="7">
        <f t="shared" si="4"/>
        <v>18396990.219999999</v>
      </c>
      <c r="N10" s="13"/>
      <c r="O10" s="13"/>
      <c r="P10" s="6">
        <f>9400829.8+L10+6978441.01</f>
        <v>39309590.699999996</v>
      </c>
      <c r="Q10" s="6">
        <v>10445120.560000001</v>
      </c>
      <c r="R10" s="6">
        <f t="shared" si="5"/>
        <v>28864470.139999993</v>
      </c>
      <c r="S10" s="12"/>
      <c r="T10" s="12"/>
      <c r="U10" s="6">
        <f>8206473.44+R10+2290409.09</f>
        <v>39361352.669999987</v>
      </c>
      <c r="V10" s="6">
        <v>10610846.92</v>
      </c>
      <c r="W10" s="6">
        <f t="shared" si="14"/>
        <v>28750505.749999985</v>
      </c>
      <c r="X10" s="9">
        <f t="shared" si="6"/>
        <v>21055967.48</v>
      </c>
      <c r="Y10" s="8"/>
      <c r="Z10" s="8"/>
      <c r="AA10" s="8">
        <f>7058557.74+W10+2285487.28</f>
        <v>38094550.769999988</v>
      </c>
      <c r="AB10" s="8">
        <v>11775700.73</v>
      </c>
      <c r="AC10" s="8">
        <f t="shared" si="7"/>
        <v>26318850.039999988</v>
      </c>
      <c r="AD10" s="10"/>
      <c r="AE10" s="10"/>
      <c r="AF10" s="8">
        <f>7665908.15+AC10+2726250.28</f>
        <v>36711008.469999991</v>
      </c>
      <c r="AG10" s="8">
        <v>10203398.970000001</v>
      </c>
      <c r="AH10" s="8">
        <f t="shared" si="1"/>
        <v>26507609.499999993</v>
      </c>
      <c r="AI10" s="7">
        <f t="shared" si="15"/>
        <v>21979099.700000003</v>
      </c>
      <c r="AJ10" s="8"/>
      <c r="AK10" s="10"/>
      <c r="AL10" s="8"/>
      <c r="AM10" s="8">
        <f>7506774.25+AH10</f>
        <v>34014383.749999993</v>
      </c>
      <c r="AN10" s="8"/>
      <c r="AO10" s="8">
        <f t="shared" si="16"/>
        <v>34014383.749999993</v>
      </c>
      <c r="AP10" s="10"/>
      <c r="AQ10" s="10"/>
      <c r="AR10" s="8">
        <v>8302443.75</v>
      </c>
      <c r="AS10" s="8"/>
      <c r="AT10" s="8">
        <f t="shared" si="8"/>
        <v>8302443.75</v>
      </c>
      <c r="AU10" s="7">
        <f t="shared" si="9"/>
        <v>42316827.499999993</v>
      </c>
      <c r="AV10" s="10"/>
      <c r="AW10" s="10"/>
      <c r="AX10" s="10"/>
      <c r="AY10" s="8">
        <v>7213324.5199999996</v>
      </c>
      <c r="AZ10" s="8"/>
      <c r="BA10" s="8">
        <f t="shared" si="10"/>
        <v>7213324.5199999996</v>
      </c>
      <c r="BB10" s="10"/>
      <c r="BC10" s="10"/>
      <c r="BD10" s="8">
        <v>7566635.8499999996</v>
      </c>
      <c r="BE10" s="8"/>
      <c r="BF10" s="8">
        <f t="shared" si="11"/>
        <v>7566635.8499999996</v>
      </c>
      <c r="BG10" s="7">
        <f t="shared" si="12"/>
        <v>14779960.369999999</v>
      </c>
      <c r="BH10" s="10"/>
      <c r="BI10" s="10"/>
      <c r="BJ10" s="10"/>
      <c r="BK10" s="8">
        <v>7750268.2800000003</v>
      </c>
      <c r="BL10" s="8"/>
      <c r="BM10" s="10"/>
      <c r="BN10" s="10"/>
      <c r="BO10" s="10"/>
      <c r="BP10" s="8">
        <v>5336630.97</v>
      </c>
      <c r="BQ10" s="8"/>
      <c r="BR10" s="10"/>
      <c r="BS10" s="9">
        <f t="shared" si="13"/>
        <v>131615744.52000001</v>
      </c>
      <c r="BT10" s="9"/>
      <c r="BU10" s="11"/>
      <c r="IL10" s="3"/>
      <c r="IM10" s="3"/>
      <c r="IN10" s="3"/>
      <c r="IO10" s="3"/>
      <c r="IP10" s="3"/>
      <c r="IQ10" s="3"/>
      <c r="IR10" s="3"/>
      <c r="IS10" s="3"/>
    </row>
    <row r="11" spans="1:253" s="2" customFormat="1" ht="12.75" customHeight="1" x14ac:dyDescent="0.2">
      <c r="A11" s="5" t="s">
        <v>29</v>
      </c>
      <c r="B11" s="5">
        <v>181821484.84</v>
      </c>
      <c r="C11" s="6"/>
      <c r="D11" s="7"/>
      <c r="E11" s="6">
        <f>35512281.47+15512902.13</f>
        <v>51025183.600000001</v>
      </c>
      <c r="F11" s="6">
        <v>9720777.0399999991</v>
      </c>
      <c r="G11" s="6">
        <f t="shared" si="2"/>
        <v>41304406.560000002</v>
      </c>
      <c r="H11" s="6"/>
      <c r="I11" s="6"/>
      <c r="J11" s="6">
        <f>16563937.27+G11+1634101.05</f>
        <v>59502444.879999995</v>
      </c>
      <c r="K11" s="6">
        <v>9939335.6699999999</v>
      </c>
      <c r="L11" s="6">
        <f t="shared" si="3"/>
        <v>49563109.209999993</v>
      </c>
      <c r="M11" s="7">
        <f>F11+K11</f>
        <v>19660112.710000001</v>
      </c>
      <c r="N11" s="13"/>
      <c r="O11" s="13"/>
      <c r="P11" s="6">
        <f>16047200.61+L11+600000</f>
        <v>66210309.819999993</v>
      </c>
      <c r="Q11" s="6">
        <v>10899129.130000001</v>
      </c>
      <c r="R11" s="6">
        <f>P11-Q11</f>
        <v>55311180.68999999</v>
      </c>
      <c r="S11" s="12"/>
      <c r="T11" s="12"/>
      <c r="U11" s="6">
        <f>14008436.3+R11+2143681.17</f>
        <v>71463298.159999996</v>
      </c>
      <c r="V11" s="6">
        <v>12233760.24</v>
      </c>
      <c r="W11" s="6">
        <f>U11-V11</f>
        <v>59229537.919999994</v>
      </c>
      <c r="X11" s="9">
        <f t="shared" si="6"/>
        <v>23132889.370000001</v>
      </c>
      <c r="Y11" s="8"/>
      <c r="Z11" s="8"/>
      <c r="AA11" s="8">
        <f>12048946.16+W11</f>
        <v>71278484.079999998</v>
      </c>
      <c r="AB11" s="8">
        <v>13302182.210000001</v>
      </c>
      <c r="AC11" s="8">
        <f t="shared" si="7"/>
        <v>57976301.869999997</v>
      </c>
      <c r="AD11" s="10"/>
      <c r="AE11" s="10"/>
      <c r="AF11" s="6">
        <f>13085692.26+AC11+5518500</f>
        <v>76580494.129999995</v>
      </c>
      <c r="AG11" s="8">
        <v>13314053.039999999</v>
      </c>
      <c r="AH11" s="8">
        <f t="shared" si="1"/>
        <v>63266441.089999996</v>
      </c>
      <c r="AI11" s="7">
        <f t="shared" si="15"/>
        <v>26616235.25</v>
      </c>
      <c r="AJ11" s="8" t="e">
        <f>#REF!+AI11</f>
        <v>#REF!</v>
      </c>
      <c r="AK11" s="10"/>
      <c r="AL11" s="8"/>
      <c r="AM11" s="6">
        <f>12814050.98+AH11</f>
        <v>76080492.069999993</v>
      </c>
      <c r="AN11" s="8"/>
      <c r="AO11" s="8">
        <f t="shared" si="16"/>
        <v>76080492.069999993</v>
      </c>
      <c r="AP11" s="10"/>
      <c r="AQ11" s="10"/>
      <c r="AR11" s="6">
        <v>14172257.470000001</v>
      </c>
      <c r="AS11" s="8"/>
      <c r="AT11" s="8">
        <f t="shared" si="8"/>
        <v>14172257.470000001</v>
      </c>
      <c r="AU11" s="7">
        <f t="shared" si="9"/>
        <v>90252749.539999992</v>
      </c>
      <c r="AV11" s="10" t="e">
        <f t="shared" si="0"/>
        <v>#REF!</v>
      </c>
      <c r="AW11" s="10"/>
      <c r="AX11" s="10"/>
      <c r="AY11" s="6">
        <v>12313132.76</v>
      </c>
      <c r="AZ11" s="8"/>
      <c r="BA11" s="8">
        <f t="shared" si="10"/>
        <v>12313132.76</v>
      </c>
      <c r="BB11" s="10"/>
      <c r="BC11" s="10"/>
      <c r="BD11" s="6">
        <v>12916234.640000001</v>
      </c>
      <c r="BE11" s="8"/>
      <c r="BF11" s="8">
        <f t="shared" si="11"/>
        <v>12916234.640000001</v>
      </c>
      <c r="BG11" s="7">
        <f t="shared" si="12"/>
        <v>25229367.399999999</v>
      </c>
      <c r="BH11" s="10"/>
      <c r="BI11" s="10"/>
      <c r="BJ11" s="10"/>
      <c r="BK11" s="6">
        <v>13229694.890000001</v>
      </c>
      <c r="BL11" s="8"/>
      <c r="BM11" s="10"/>
      <c r="BN11" s="10"/>
      <c r="BO11" s="10"/>
      <c r="BP11" s="8">
        <f>9109620.03</f>
        <v>9109620.0299999993</v>
      </c>
      <c r="BQ11" s="8"/>
      <c r="BR11" s="10"/>
      <c r="BS11" s="9">
        <f t="shared" si="13"/>
        <v>207230669.19000003</v>
      </c>
      <c r="BT11" s="9"/>
      <c r="BU11" s="11"/>
      <c r="IL11" s="3"/>
      <c r="IM11" s="3"/>
      <c r="IN11" s="3"/>
      <c r="IO11" s="3"/>
      <c r="IP11" s="3"/>
      <c r="IQ11" s="3"/>
      <c r="IR11" s="3"/>
      <c r="IS11" s="3"/>
    </row>
    <row r="12" spans="1:253" s="2" customFormat="1" ht="12.75" customHeight="1" x14ac:dyDescent="0.2">
      <c r="A12" s="5" t="s">
        <v>43</v>
      </c>
      <c r="B12" s="5">
        <v>5755000</v>
      </c>
      <c r="C12" s="6"/>
      <c r="D12" s="7"/>
      <c r="E12" s="6">
        <f>1124032.05+4127297.19</f>
        <v>5251329.24</v>
      </c>
      <c r="F12" s="6">
        <v>662818.87</v>
      </c>
      <c r="G12" s="6">
        <f t="shared" si="2"/>
        <v>4588510.37</v>
      </c>
      <c r="H12" s="6"/>
      <c r="I12" s="6"/>
      <c r="J12" s="6">
        <f>524280.5+G12</f>
        <v>5112790.87</v>
      </c>
      <c r="K12" s="6">
        <v>382215.7</v>
      </c>
      <c r="L12" s="6">
        <f t="shared" si="3"/>
        <v>4730575.17</v>
      </c>
      <c r="M12" s="7">
        <f t="shared" si="4"/>
        <v>1045034.5700000001</v>
      </c>
      <c r="N12" s="13"/>
      <c r="O12" s="13"/>
      <c r="P12" s="6">
        <f>507924.8+L12+10000</f>
        <v>5248499.97</v>
      </c>
      <c r="Q12" s="6">
        <v>456815.57</v>
      </c>
      <c r="R12" s="6">
        <f t="shared" si="5"/>
        <v>4791684.3999999994</v>
      </c>
      <c r="S12" s="12"/>
      <c r="T12" s="12"/>
      <c r="U12" s="6">
        <f>443393.98+R12+259000</f>
        <v>5494078.379999999</v>
      </c>
      <c r="V12" s="6">
        <v>497829.54</v>
      </c>
      <c r="W12" s="6">
        <f t="shared" si="14"/>
        <v>4996248.8399999989</v>
      </c>
      <c r="X12" s="9">
        <f t="shared" si="6"/>
        <v>954645.11</v>
      </c>
      <c r="Y12" s="8"/>
      <c r="Z12" s="8"/>
      <c r="AA12" s="8">
        <f>381372.34+W12+150200</f>
        <v>5527821.1799999988</v>
      </c>
      <c r="AB12" s="8">
        <v>390951.54</v>
      </c>
      <c r="AC12" s="8">
        <f t="shared" si="7"/>
        <v>5136869.6399999987</v>
      </c>
      <c r="AD12" s="10"/>
      <c r="AE12" s="10"/>
      <c r="AF12" s="8">
        <f>414187.35+AC12+15000</f>
        <v>5566056.9899999984</v>
      </c>
      <c r="AG12" s="8">
        <v>521372.55</v>
      </c>
      <c r="AH12" s="8">
        <f t="shared" si="1"/>
        <v>5044684.4399999985</v>
      </c>
      <c r="AI12" s="7">
        <f t="shared" si="15"/>
        <v>912324.09</v>
      </c>
      <c r="AJ12" s="8"/>
      <c r="AK12" s="10"/>
      <c r="AL12" s="8"/>
      <c r="AM12" s="8">
        <f>405589.39+AH12</f>
        <v>5450273.8299999982</v>
      </c>
      <c r="AN12" s="8"/>
      <c r="AO12" s="8">
        <f t="shared" si="16"/>
        <v>5450273.8299999982</v>
      </c>
      <c r="AP12" s="10"/>
      <c r="AQ12" s="10"/>
      <c r="AR12" s="8">
        <v>448579.23</v>
      </c>
      <c r="AS12" s="8"/>
      <c r="AT12" s="8">
        <f t="shared" si="8"/>
        <v>448579.23</v>
      </c>
      <c r="AU12" s="7">
        <f t="shared" si="9"/>
        <v>5898853.0599999987</v>
      </c>
      <c r="AV12" s="10"/>
      <c r="AW12" s="10"/>
      <c r="AX12" s="10"/>
      <c r="AY12" s="8">
        <v>389734.35</v>
      </c>
      <c r="AZ12" s="8"/>
      <c r="BA12" s="8">
        <f t="shared" si="10"/>
        <v>389734.35</v>
      </c>
      <c r="BB12" s="10"/>
      <c r="BC12" s="10"/>
      <c r="BD12" s="8">
        <v>408823.69</v>
      </c>
      <c r="BE12" s="8"/>
      <c r="BF12" s="8">
        <f t="shared" si="11"/>
        <v>408823.69</v>
      </c>
      <c r="BG12" s="7">
        <f t="shared" si="12"/>
        <v>798558.04</v>
      </c>
      <c r="BH12" s="10"/>
      <c r="BI12" s="10"/>
      <c r="BJ12" s="10"/>
      <c r="BK12" s="8">
        <v>418745.31</v>
      </c>
      <c r="BL12" s="8"/>
      <c r="BM12" s="10"/>
      <c r="BN12" s="10"/>
      <c r="BO12" s="10"/>
      <c r="BP12" s="8">
        <v>288337.01</v>
      </c>
      <c r="BQ12" s="8"/>
      <c r="BR12" s="10"/>
      <c r="BS12" s="9">
        <f t="shared" si="13"/>
        <v>10316497.189999998</v>
      </c>
      <c r="BT12" s="9"/>
      <c r="BU12" s="11"/>
      <c r="IL12" s="3"/>
      <c r="IM12" s="3"/>
      <c r="IN12" s="3"/>
      <c r="IO12" s="3"/>
      <c r="IP12" s="3"/>
      <c r="IQ12" s="3"/>
      <c r="IR12" s="3"/>
      <c r="IS12" s="3"/>
    </row>
    <row r="13" spans="1:253" s="2" customFormat="1" ht="12.75" customHeight="1" x14ac:dyDescent="0.2">
      <c r="A13" s="5" t="s">
        <v>44</v>
      </c>
      <c r="B13" s="5">
        <v>9996085.4399999995</v>
      </c>
      <c r="C13" s="6"/>
      <c r="D13" s="7"/>
      <c r="E13" s="6">
        <f>1952375.38+5932546.4</f>
        <v>7884921.7800000003</v>
      </c>
      <c r="F13" s="6">
        <v>1178339.3400000001</v>
      </c>
      <c r="G13" s="6">
        <f t="shared" si="2"/>
        <v>6706582.4400000004</v>
      </c>
      <c r="H13" s="6"/>
      <c r="I13" s="6"/>
      <c r="J13" s="6">
        <f>910643.39+G13+694577.21</f>
        <v>8311803.04</v>
      </c>
      <c r="K13" s="6">
        <v>818848.78</v>
      </c>
      <c r="L13" s="6">
        <f t="shared" si="3"/>
        <v>7492954.2599999998</v>
      </c>
      <c r="M13" s="7">
        <f t="shared" si="4"/>
        <v>1997188.12</v>
      </c>
      <c r="N13" s="13"/>
      <c r="O13" s="13"/>
      <c r="P13" s="6">
        <f>882234.52+L13+435500</f>
        <v>8810688.7799999993</v>
      </c>
      <c r="Q13" s="6">
        <v>1246183.98</v>
      </c>
      <c r="R13" s="6">
        <f t="shared" si="5"/>
        <v>7564504.7999999989</v>
      </c>
      <c r="S13" s="12"/>
      <c r="T13" s="12"/>
      <c r="U13" s="6">
        <f>770148.39+R13+621400</f>
        <v>8956053.1899999976</v>
      </c>
      <c r="V13" s="6">
        <v>1410881.1</v>
      </c>
      <c r="W13" s="6">
        <f t="shared" si="14"/>
        <v>7545172.089999998</v>
      </c>
      <c r="X13" s="9">
        <f t="shared" si="6"/>
        <v>2657065.08</v>
      </c>
      <c r="Y13" s="8"/>
      <c r="Z13" s="8"/>
      <c r="AA13" s="8">
        <f>662420.6+W13+1230900</f>
        <v>9438492.6899999976</v>
      </c>
      <c r="AB13" s="8">
        <v>1257232.73</v>
      </c>
      <c r="AC13" s="8">
        <f t="shared" si="7"/>
        <v>8181259.9599999972</v>
      </c>
      <c r="AD13" s="10"/>
      <c r="AE13" s="10"/>
      <c r="AF13" s="8">
        <f>719418.27+AC13+1540431.61</f>
        <v>10441109.839999996</v>
      </c>
      <c r="AG13" s="8">
        <v>1091670.47</v>
      </c>
      <c r="AH13" s="8">
        <f t="shared" si="1"/>
        <v>9349439.3699999955</v>
      </c>
      <c r="AI13" s="7">
        <f t="shared" si="15"/>
        <v>2348903.2000000002</v>
      </c>
      <c r="AJ13" s="8" t="e">
        <f>#REF!+AI13</f>
        <v>#REF!</v>
      </c>
      <c r="AK13" s="10"/>
      <c r="AL13" s="8"/>
      <c r="AM13" s="8">
        <f>704484.13+AH13</f>
        <v>10053923.499999996</v>
      </c>
      <c r="AN13" s="8"/>
      <c r="AO13" s="8">
        <f t="shared" si="16"/>
        <v>10053923.499999996</v>
      </c>
      <c r="AP13" s="10"/>
      <c r="AQ13" s="10"/>
      <c r="AR13" s="8">
        <v>779154.89</v>
      </c>
      <c r="AS13" s="8"/>
      <c r="AT13" s="8">
        <f t="shared" si="8"/>
        <v>779154.89</v>
      </c>
      <c r="AU13" s="7">
        <f t="shared" si="9"/>
        <v>10833078.389999997</v>
      </c>
      <c r="AV13" s="10" t="e">
        <f t="shared" si="0"/>
        <v>#REF!</v>
      </c>
      <c r="AW13" s="10"/>
      <c r="AX13" s="10"/>
      <c r="AY13" s="8">
        <v>676944.91</v>
      </c>
      <c r="AZ13" s="8"/>
      <c r="BA13" s="8">
        <f t="shared" si="10"/>
        <v>676944.91</v>
      </c>
      <c r="BB13" s="10"/>
      <c r="BC13" s="10"/>
      <c r="BD13" s="8">
        <v>710101.93</v>
      </c>
      <c r="BE13" s="8"/>
      <c r="BF13" s="8">
        <f>BD13-BE13</f>
        <v>710101.93</v>
      </c>
      <c r="BG13" s="7">
        <f t="shared" si="12"/>
        <v>1387046.84</v>
      </c>
      <c r="BH13" s="10"/>
      <c r="BI13" s="10"/>
      <c r="BJ13" s="10"/>
      <c r="BK13" s="8">
        <v>727335.16</v>
      </c>
      <c r="BL13" s="8"/>
      <c r="BM13" s="10"/>
      <c r="BN13" s="10"/>
      <c r="BO13" s="10"/>
      <c r="BP13" s="8">
        <v>500823.87</v>
      </c>
      <c r="BQ13" s="8"/>
      <c r="BR13" s="10"/>
      <c r="BS13" s="9">
        <f t="shared" si="13"/>
        <v>20451440.66</v>
      </c>
      <c r="BT13" s="9"/>
      <c r="BU13" s="11"/>
      <c r="IL13" s="3"/>
      <c r="IM13" s="3"/>
      <c r="IN13" s="3"/>
      <c r="IO13" s="3"/>
      <c r="IP13" s="3"/>
      <c r="IQ13" s="3"/>
      <c r="IR13" s="3"/>
      <c r="IS13" s="3"/>
    </row>
    <row r="14" spans="1:253" s="2" customFormat="1" ht="12.75" customHeight="1" x14ac:dyDescent="0.2">
      <c r="A14" s="5" t="s">
        <v>45</v>
      </c>
      <c r="B14" s="5">
        <v>5666471.6799999997</v>
      </c>
      <c r="C14" s="6"/>
      <c r="D14" s="7"/>
      <c r="E14" s="6">
        <f>1106741.25+201000</f>
        <v>1307741.25</v>
      </c>
      <c r="F14" s="6">
        <v>336793.59999999998</v>
      </c>
      <c r="G14" s="6">
        <f t="shared" si="2"/>
        <v>970947.65</v>
      </c>
      <c r="H14" s="6"/>
      <c r="I14" s="6"/>
      <c r="J14" s="6">
        <f>516215.58+G14+68500</f>
        <v>1555663.23</v>
      </c>
      <c r="K14" s="6">
        <v>375506.72</v>
      </c>
      <c r="L14" s="6">
        <f>J14-K14</f>
        <v>1180156.51</v>
      </c>
      <c r="M14" s="7">
        <f t="shared" si="4"/>
        <v>712300.32</v>
      </c>
      <c r="N14" s="6"/>
      <c r="O14" s="13"/>
      <c r="P14" s="6">
        <f>500111.46+L14+594000</f>
        <v>2274267.9699999997</v>
      </c>
      <c r="Q14" s="6">
        <v>338440.89</v>
      </c>
      <c r="R14" s="6">
        <f>P14-Q14</f>
        <v>1935827.0799999996</v>
      </c>
      <c r="S14" s="12"/>
      <c r="T14" s="12"/>
      <c r="U14" s="6">
        <f>436573.32+R14+502850</f>
        <v>2875250.3999999994</v>
      </c>
      <c r="V14" s="6">
        <v>536085.25</v>
      </c>
      <c r="W14" s="6">
        <f>U14-V14</f>
        <v>2339165.1499999994</v>
      </c>
      <c r="X14" s="9">
        <f t="shared" si="6"/>
        <v>874526.14</v>
      </c>
      <c r="Y14" s="8"/>
      <c r="Z14" s="8"/>
      <c r="AA14" s="8">
        <f>375505.75+W14</f>
        <v>2714670.8999999994</v>
      </c>
      <c r="AB14" s="8">
        <v>508265.89</v>
      </c>
      <c r="AC14" s="8">
        <f t="shared" si="7"/>
        <v>2206405.0099999993</v>
      </c>
      <c r="AD14" s="10"/>
      <c r="AE14" s="10"/>
      <c r="AF14" s="8">
        <f>407815.96+AC14</f>
        <v>2614220.9699999993</v>
      </c>
      <c r="AG14" s="8">
        <v>367619.22</v>
      </c>
      <c r="AH14" s="8">
        <f t="shared" si="1"/>
        <v>2246601.7499999991</v>
      </c>
      <c r="AI14" s="7">
        <f t="shared" si="15"/>
        <v>875885.11</v>
      </c>
      <c r="AJ14" s="8"/>
      <c r="AK14" s="10"/>
      <c r="AL14" s="8"/>
      <c r="AM14" s="8">
        <f>399350.26+AH14</f>
        <v>2645952.0099999988</v>
      </c>
      <c r="AN14" s="8"/>
      <c r="AO14" s="8">
        <f t="shared" si="16"/>
        <v>2645952.0099999988</v>
      </c>
      <c r="AP14" s="10"/>
      <c r="AQ14" s="10"/>
      <c r="AR14" s="8">
        <v>441678.79</v>
      </c>
      <c r="AS14" s="8"/>
      <c r="AT14" s="8">
        <f t="shared" si="8"/>
        <v>441678.79</v>
      </c>
      <c r="AU14" s="7">
        <f t="shared" si="9"/>
        <v>3087630.7999999989</v>
      </c>
      <c r="AV14" s="10"/>
      <c r="AW14" s="10"/>
      <c r="AX14" s="10"/>
      <c r="AY14" s="8">
        <v>383739.13</v>
      </c>
      <c r="AZ14" s="8"/>
      <c r="BA14" s="8">
        <f t="shared" si="10"/>
        <v>383739.13</v>
      </c>
      <c r="BB14" s="10"/>
      <c r="BC14" s="10"/>
      <c r="BD14" s="8">
        <v>402534.81</v>
      </c>
      <c r="BE14" s="8"/>
      <c r="BF14" s="8">
        <f t="shared" si="11"/>
        <v>402534.81</v>
      </c>
      <c r="BG14" s="7">
        <f t="shared" si="12"/>
        <v>786273.94</v>
      </c>
      <c r="BH14" s="10"/>
      <c r="BI14" s="10"/>
      <c r="BJ14" s="10"/>
      <c r="BK14" s="8">
        <v>412303.81</v>
      </c>
      <c r="BL14" s="8"/>
      <c r="BM14" s="10"/>
      <c r="BN14" s="10"/>
      <c r="BO14" s="10"/>
      <c r="BP14" s="8">
        <v>283901.56</v>
      </c>
      <c r="BQ14" s="8"/>
      <c r="BR14" s="10"/>
      <c r="BS14" s="9">
        <f t="shared" si="13"/>
        <v>7032821.6799999978</v>
      </c>
      <c r="BT14" s="9"/>
      <c r="BU14" s="11"/>
      <c r="IL14" s="3"/>
      <c r="IM14" s="3"/>
      <c r="IN14" s="3"/>
      <c r="IO14" s="3"/>
      <c r="IP14" s="3"/>
      <c r="IQ14" s="3"/>
      <c r="IR14" s="3"/>
      <c r="IS14" s="3"/>
    </row>
    <row r="15" spans="1:253" s="2" customFormat="1" ht="12.75" customHeight="1" x14ac:dyDescent="0.2">
      <c r="A15" s="5" t="s">
        <v>46</v>
      </c>
      <c r="B15" s="5">
        <v>2844969.88</v>
      </c>
      <c r="C15" s="6"/>
      <c r="D15" s="7"/>
      <c r="E15" s="6">
        <f>555662.42+340500</f>
        <v>896162.42</v>
      </c>
      <c r="F15" s="6">
        <v>237774.53</v>
      </c>
      <c r="G15" s="6">
        <f t="shared" si="2"/>
        <v>658387.89</v>
      </c>
      <c r="H15" s="6"/>
      <c r="I15" s="6"/>
      <c r="J15" s="6">
        <f>259176.76+G15+40000</f>
        <v>957564.65</v>
      </c>
      <c r="K15" s="6">
        <v>232053.91</v>
      </c>
      <c r="L15" s="6">
        <f t="shared" si="3"/>
        <v>725510.74</v>
      </c>
      <c r="M15" s="7">
        <f t="shared" si="4"/>
        <v>469828.44</v>
      </c>
      <c r="N15" s="6"/>
      <c r="O15" s="13"/>
      <c r="P15" s="6">
        <f>251091.35+L15+37000</f>
        <v>1013602.09</v>
      </c>
      <c r="Q15" s="6">
        <v>237806.78</v>
      </c>
      <c r="R15" s="6">
        <f t="shared" si="5"/>
        <v>775795.30999999994</v>
      </c>
      <c r="S15" s="12"/>
      <c r="T15" s="12"/>
      <c r="U15" s="6">
        <f>219190.7+R15+50100</f>
        <v>1045086.01</v>
      </c>
      <c r="V15" s="6">
        <v>220962.47</v>
      </c>
      <c r="W15" s="6">
        <f t="shared" si="14"/>
        <v>824123.54</v>
      </c>
      <c r="X15" s="9">
        <f t="shared" si="6"/>
        <v>458769.25</v>
      </c>
      <c r="Y15" s="8"/>
      <c r="Z15" s="8"/>
      <c r="AA15" s="8">
        <f>188530.47+W15+10000</f>
        <v>1022654.01</v>
      </c>
      <c r="AB15" s="8">
        <v>266252.3</v>
      </c>
      <c r="AC15" s="8">
        <f t="shared" si="7"/>
        <v>756401.71</v>
      </c>
      <c r="AD15" s="10"/>
      <c r="AE15" s="10"/>
      <c r="AF15" s="8">
        <f>204752.48+AC15+70000</f>
        <v>1031154.19</v>
      </c>
      <c r="AG15" s="8">
        <v>753687.38</v>
      </c>
      <c r="AH15" s="8">
        <f t="shared" si="1"/>
        <v>277466.80999999994</v>
      </c>
      <c r="AI15" s="7">
        <f t="shared" si="15"/>
        <v>1019939.6799999999</v>
      </c>
      <c r="AJ15" s="8" t="e">
        <f>#REF!+AI15</f>
        <v>#REF!</v>
      </c>
      <c r="AK15" s="10"/>
      <c r="AL15" s="8"/>
      <c r="AM15" s="8">
        <f>200502.11+AH15</f>
        <v>477968.91999999993</v>
      </c>
      <c r="AN15" s="8"/>
      <c r="AO15" s="8">
        <f t="shared" si="16"/>
        <v>477968.91999999993</v>
      </c>
      <c r="AP15" s="10"/>
      <c r="AQ15" s="10"/>
      <c r="AR15" s="8">
        <v>221754.03</v>
      </c>
      <c r="AS15" s="8"/>
      <c r="AT15" s="8">
        <f t="shared" si="8"/>
        <v>221754.03</v>
      </c>
      <c r="AU15" s="7">
        <f t="shared" si="9"/>
        <v>699722.95</v>
      </c>
      <c r="AV15" s="10" t="e">
        <f t="shared" si="0"/>
        <v>#REF!</v>
      </c>
      <c r="AW15" s="10"/>
      <c r="AX15" s="10"/>
      <c r="AY15" s="8">
        <v>192664.2</v>
      </c>
      <c r="AZ15" s="8"/>
      <c r="BA15" s="8">
        <f t="shared" si="10"/>
        <v>192664.2</v>
      </c>
      <c r="BB15" s="10"/>
      <c r="BC15" s="10"/>
      <c r="BD15" s="8">
        <v>202100.98</v>
      </c>
      <c r="BE15" s="8"/>
      <c r="BF15" s="8">
        <f t="shared" si="11"/>
        <v>202100.98</v>
      </c>
      <c r="BG15" s="7">
        <f t="shared" si="12"/>
        <v>394765.18000000005</v>
      </c>
      <c r="BH15" s="10"/>
      <c r="BI15" s="10"/>
      <c r="BJ15" s="10"/>
      <c r="BK15" s="8">
        <v>207005.7</v>
      </c>
      <c r="BL15" s="8"/>
      <c r="BM15" s="10"/>
      <c r="BN15" s="10"/>
      <c r="BO15" s="10"/>
      <c r="BP15" s="8">
        <v>142538.68</v>
      </c>
      <c r="BQ15" s="8"/>
      <c r="BR15" s="10"/>
      <c r="BS15" s="9">
        <f t="shared" si="13"/>
        <v>3392569.8800000004</v>
      </c>
      <c r="BT15" s="9"/>
      <c r="BU15" s="11"/>
      <c r="IL15" s="3"/>
      <c r="IM15" s="3"/>
      <c r="IN15" s="3"/>
      <c r="IO15" s="3"/>
      <c r="IP15" s="3"/>
      <c r="IQ15" s="3"/>
      <c r="IR15" s="3"/>
      <c r="IS15" s="3"/>
    </row>
    <row r="16" spans="1:253" s="2" customFormat="1" ht="12.75" customHeight="1" x14ac:dyDescent="0.2">
      <c r="A16" s="5" t="s">
        <v>47</v>
      </c>
      <c r="B16" s="5">
        <v>43870000</v>
      </c>
      <c r="C16" s="6"/>
      <c r="D16" s="7"/>
      <c r="E16" s="6">
        <f>8568425.18+233500</f>
        <v>8801925.1799999997</v>
      </c>
      <c r="F16" s="6">
        <v>906804.54</v>
      </c>
      <c r="G16" s="6">
        <f t="shared" si="2"/>
        <v>7895120.6399999997</v>
      </c>
      <c r="H16" s="6"/>
      <c r="I16" s="6"/>
      <c r="J16" s="6">
        <f>3996557+G16+4000</f>
        <v>11895677.640000001</v>
      </c>
      <c r="K16" s="6">
        <v>801992.99</v>
      </c>
      <c r="L16" s="6">
        <f t="shared" si="3"/>
        <v>11093684.65</v>
      </c>
      <c r="M16" s="7">
        <f t="shared" si="4"/>
        <v>1708797.53</v>
      </c>
      <c r="N16" s="6"/>
      <c r="O16" s="13"/>
      <c r="P16" s="6">
        <f>3871878.46+L16+712454.3</f>
        <v>15678017.41</v>
      </c>
      <c r="Q16" s="6">
        <v>1799400.53</v>
      </c>
      <c r="R16" s="6">
        <f t="shared" si="5"/>
        <v>13878616.880000001</v>
      </c>
      <c r="S16" s="12"/>
      <c r="T16" s="12"/>
      <c r="U16" s="6">
        <f>3379964.15+R16</f>
        <v>17258581.030000001</v>
      </c>
      <c r="V16" s="6">
        <v>782714.08</v>
      </c>
      <c r="W16" s="6">
        <f t="shared" si="14"/>
        <v>16475866.950000001</v>
      </c>
      <c r="X16" s="9">
        <f t="shared" si="6"/>
        <v>2582114.61</v>
      </c>
      <c r="Y16" s="8"/>
      <c r="Z16" s="8"/>
      <c r="AA16" s="8">
        <f>2907177.16+W16-10000</f>
        <v>19373044.109999999</v>
      </c>
      <c r="AB16" s="8">
        <v>1603314.6</v>
      </c>
      <c r="AC16" s="8">
        <f t="shared" si="7"/>
        <v>17769729.509999998</v>
      </c>
      <c r="AD16" s="10"/>
      <c r="AE16" s="10"/>
      <c r="AF16" s="8">
        <f>3157323.9+AC16</f>
        <v>20927053.409999996</v>
      </c>
      <c r="AG16" s="8">
        <v>314797.99</v>
      </c>
      <c r="AH16" s="8">
        <f t="shared" si="1"/>
        <v>20612255.419999998</v>
      </c>
      <c r="AI16" s="7">
        <f t="shared" si="15"/>
        <v>1918112.59</v>
      </c>
      <c r="AJ16" s="8" t="e">
        <f>#REF!+AI16</f>
        <v>#REF!</v>
      </c>
      <c r="AK16" s="10"/>
      <c r="AL16" s="8"/>
      <c r="AM16" s="8">
        <f>3091782.13+AH16</f>
        <v>23704037.549999997</v>
      </c>
      <c r="AN16" s="8"/>
      <c r="AO16" s="8">
        <f t="shared" si="16"/>
        <v>23704037.549999997</v>
      </c>
      <c r="AP16" s="10"/>
      <c r="AQ16" s="10"/>
      <c r="AR16" s="8">
        <v>3419491.02</v>
      </c>
      <c r="AS16" s="8"/>
      <c r="AT16" s="8">
        <f t="shared" si="8"/>
        <v>3419491.02</v>
      </c>
      <c r="AU16" s="7">
        <f t="shared" si="9"/>
        <v>27123528.569999997</v>
      </c>
      <c r="AV16" s="10" t="e">
        <f t="shared" si="0"/>
        <v>#REF!</v>
      </c>
      <c r="AW16" s="10"/>
      <c r="AX16" s="10"/>
      <c r="AY16" s="8">
        <v>2970920.26</v>
      </c>
      <c r="AZ16" s="8"/>
      <c r="BA16" s="8">
        <f t="shared" si="10"/>
        <v>2970920.26</v>
      </c>
      <c r="BB16" s="10"/>
      <c r="BC16" s="10"/>
      <c r="BD16" s="8">
        <v>3116437.05</v>
      </c>
      <c r="BE16" s="8"/>
      <c r="BF16" s="8">
        <f t="shared" si="11"/>
        <v>3116437.05</v>
      </c>
      <c r="BG16" s="7">
        <f t="shared" si="12"/>
        <v>6087357.3099999996</v>
      </c>
      <c r="BH16" s="10"/>
      <c r="BI16" s="10"/>
      <c r="BJ16" s="10"/>
      <c r="BK16" s="8">
        <v>3192068.95</v>
      </c>
      <c r="BL16" s="8"/>
      <c r="BM16" s="10"/>
      <c r="BN16" s="10"/>
      <c r="BO16" s="10"/>
      <c r="BP16" s="8">
        <v>2197974.7400000002</v>
      </c>
      <c r="BQ16" s="8"/>
      <c r="BR16" s="10"/>
      <c r="BS16" s="9">
        <f t="shared" si="13"/>
        <v>44809954.300000004</v>
      </c>
      <c r="BT16" s="9"/>
      <c r="BU16" s="11"/>
      <c r="IL16" s="3"/>
      <c r="IM16" s="3"/>
      <c r="IN16" s="3"/>
      <c r="IO16" s="3"/>
      <c r="IP16" s="3"/>
      <c r="IQ16" s="3"/>
      <c r="IR16" s="3"/>
      <c r="IS16" s="3"/>
    </row>
    <row r="17" spans="1:253" s="2" customFormat="1" ht="12.75" customHeight="1" x14ac:dyDescent="0.2">
      <c r="A17" s="5" t="s">
        <v>48</v>
      </c>
      <c r="B17" s="5">
        <v>36795238</v>
      </c>
      <c r="C17" s="6"/>
      <c r="D17" s="7"/>
      <c r="E17" s="6">
        <f>7186625.12+23123378.36</f>
        <v>30310003.48</v>
      </c>
      <c r="F17" s="6">
        <v>2813009.99</v>
      </c>
      <c r="G17" s="6">
        <f t="shared" si="2"/>
        <v>27496993.490000002</v>
      </c>
      <c r="H17" s="6"/>
      <c r="I17" s="6"/>
      <c r="J17" s="6">
        <f>3352046.17+G17+1492315.98</f>
        <v>32341355.640000004</v>
      </c>
      <c r="K17" s="6">
        <v>2841016.63</v>
      </c>
      <c r="L17" s="6">
        <f t="shared" si="3"/>
        <v>29500339.010000005</v>
      </c>
      <c r="M17" s="7">
        <f t="shared" si="4"/>
        <v>5654026.6200000001</v>
      </c>
      <c r="N17" s="6"/>
      <c r="O17" s="13"/>
      <c r="P17" s="6">
        <f>3247474.13+L17-15000000+2420450.52</f>
        <v>20168263.660000004</v>
      </c>
      <c r="Q17" s="6">
        <v>4231013.3899999997</v>
      </c>
      <c r="R17" s="6">
        <f t="shared" si="5"/>
        <v>15937250.270000003</v>
      </c>
      <c r="S17" s="12"/>
      <c r="T17" s="12"/>
      <c r="U17" s="6">
        <f>2834889.1+R17+952000</f>
        <v>19724139.370000005</v>
      </c>
      <c r="V17" s="6">
        <v>3724877.36</v>
      </c>
      <c r="W17" s="6">
        <f t="shared" si="14"/>
        <v>15999262.010000005</v>
      </c>
      <c r="X17" s="9">
        <f t="shared" si="6"/>
        <v>7955890.75</v>
      </c>
      <c r="Y17" s="8"/>
      <c r="Z17" s="8"/>
      <c r="AA17" s="8">
        <f>2438346.85+W17+5459934.56</f>
        <v>23897543.420000006</v>
      </c>
      <c r="AB17" s="8">
        <v>5937645.75</v>
      </c>
      <c r="AC17" s="8">
        <f t="shared" si="7"/>
        <v>17959897.670000006</v>
      </c>
      <c r="AD17" s="10"/>
      <c r="AE17" s="10"/>
      <c r="AF17" s="8">
        <f>2648153.27+AC17+967524.27</f>
        <v>21575575.210000005</v>
      </c>
      <c r="AG17" s="8">
        <v>4621107.96</v>
      </c>
      <c r="AH17" s="8">
        <f t="shared" si="1"/>
        <v>16954467.250000004</v>
      </c>
      <c r="AI17" s="7">
        <f t="shared" si="15"/>
        <v>10558753.710000001</v>
      </c>
      <c r="AJ17" s="8"/>
      <c r="AK17" s="10"/>
      <c r="AL17" s="8"/>
      <c r="AM17" s="8">
        <f>2593181.2+AH17</f>
        <v>19547648.450000003</v>
      </c>
      <c r="AN17" s="8"/>
      <c r="AO17" s="8">
        <f t="shared" si="16"/>
        <v>19547648.450000003</v>
      </c>
      <c r="AP17" s="10"/>
      <c r="AQ17" s="10"/>
      <c r="AR17" s="8">
        <v>2868041.62</v>
      </c>
      <c r="AS17" s="8"/>
      <c r="AT17" s="8">
        <f t="shared" si="8"/>
        <v>2868041.62</v>
      </c>
      <c r="AU17" s="7">
        <f t="shared" si="9"/>
        <v>22415690.070000004</v>
      </c>
      <c r="AV17" s="10"/>
      <c r="AW17" s="10"/>
      <c r="AX17" s="10"/>
      <c r="AY17" s="8">
        <v>2491810.31</v>
      </c>
      <c r="AZ17" s="8"/>
      <c r="BA17" s="8">
        <f>AY17-AZ17</f>
        <v>2491810.31</v>
      </c>
      <c r="BB17" s="10"/>
      <c r="BC17" s="10"/>
      <c r="BD17" s="8">
        <f>2613860.12+15000000</f>
        <v>17613860.120000001</v>
      </c>
      <c r="BE17" s="8"/>
      <c r="BF17" s="8">
        <f t="shared" si="11"/>
        <v>17613860.120000001</v>
      </c>
      <c r="BG17" s="7">
        <f t="shared" si="12"/>
        <v>20105670.43</v>
      </c>
      <c r="BH17" s="10"/>
      <c r="BI17" s="10"/>
      <c r="BJ17" s="10"/>
      <c r="BK17" s="8">
        <v>2677295.1</v>
      </c>
      <c r="BL17" s="8"/>
      <c r="BM17" s="10"/>
      <c r="BN17" s="10"/>
      <c r="BO17" s="10"/>
      <c r="BP17" s="8">
        <v>1843515.01</v>
      </c>
      <c r="BQ17" s="8"/>
      <c r="BR17" s="10"/>
      <c r="BS17" s="9">
        <f t="shared" si="13"/>
        <v>71210841.690000013</v>
      </c>
      <c r="BT17" s="9"/>
      <c r="BU17" s="11"/>
      <c r="IL17" s="3"/>
      <c r="IM17" s="3"/>
      <c r="IN17" s="3"/>
      <c r="IO17" s="3"/>
      <c r="IP17" s="3"/>
      <c r="IQ17" s="3"/>
      <c r="IR17" s="3"/>
      <c r="IS17" s="3"/>
    </row>
    <row r="18" spans="1:253" s="2" customFormat="1" ht="12.75" customHeight="1" x14ac:dyDescent="0.2">
      <c r="A18" s="5" t="s">
        <v>40</v>
      </c>
      <c r="B18" s="5">
        <v>15889000</v>
      </c>
      <c r="C18" s="6"/>
      <c r="D18" s="7"/>
      <c r="E18" s="6">
        <f>3103344.16+765205</f>
        <v>3868549.16</v>
      </c>
      <c r="F18" s="6">
        <v>872607.69</v>
      </c>
      <c r="G18" s="6">
        <f t="shared" si="2"/>
        <v>2995941.47</v>
      </c>
      <c r="H18" s="6"/>
      <c r="I18" s="6"/>
      <c r="J18" s="6">
        <f>1447487.9+G18</f>
        <v>4443429.37</v>
      </c>
      <c r="K18" s="6">
        <v>1121012</v>
      </c>
      <c r="L18" s="6">
        <f t="shared" si="3"/>
        <v>3322417.37</v>
      </c>
      <c r="M18" s="7">
        <f t="shared" si="4"/>
        <v>1993619.69</v>
      </c>
      <c r="N18" s="6"/>
      <c r="O18" s="13"/>
      <c r="P18" s="6">
        <f>1402331.36+L18-10000</f>
        <v>4714748.7300000004</v>
      </c>
      <c r="Q18" s="6">
        <v>988288.42</v>
      </c>
      <c r="R18" s="6">
        <f t="shared" si="5"/>
        <v>3726460.3100000005</v>
      </c>
      <c r="S18" s="12"/>
      <c r="T18" s="12"/>
      <c r="U18" s="6">
        <f>1224168+R18</f>
        <v>4950628.3100000005</v>
      </c>
      <c r="V18" s="6">
        <v>1092066.48</v>
      </c>
      <c r="W18" s="6">
        <f t="shared" si="14"/>
        <v>3858561.8300000005</v>
      </c>
      <c r="X18" s="9">
        <f>Q18+V18</f>
        <v>2080354.9</v>
      </c>
      <c r="Y18" s="8"/>
      <c r="Z18" s="8"/>
      <c r="AA18" s="8">
        <f>1052932.25+W18</f>
        <v>4911494.08</v>
      </c>
      <c r="AB18" s="8">
        <v>1094164.18</v>
      </c>
      <c r="AC18" s="8">
        <f t="shared" si="7"/>
        <v>3817329.9000000004</v>
      </c>
      <c r="AD18" s="10"/>
      <c r="AE18" s="10"/>
      <c r="AF18" s="8">
        <f>1143531.33+AC18</f>
        <v>4960861.2300000004</v>
      </c>
      <c r="AG18" s="8">
        <v>1104738.74</v>
      </c>
      <c r="AH18" s="8">
        <f t="shared" si="1"/>
        <v>3856122.49</v>
      </c>
      <c r="AI18" s="7">
        <f t="shared" si="15"/>
        <v>2198902.92</v>
      </c>
      <c r="AJ18" s="8" t="e">
        <f>#REF!+AI18</f>
        <v>#REF!</v>
      </c>
      <c r="AK18" s="10"/>
      <c r="AL18" s="8"/>
      <c r="AM18" s="8">
        <f>1119793.16+AH18</f>
        <v>4975915.6500000004</v>
      </c>
      <c r="AN18" s="8"/>
      <c r="AO18" s="8">
        <f t="shared" si="16"/>
        <v>4975915.6500000004</v>
      </c>
      <c r="AP18" s="10"/>
      <c r="AQ18" s="10"/>
      <c r="AR18" s="8">
        <v>1238483.99</v>
      </c>
      <c r="AS18" s="8"/>
      <c r="AT18" s="8">
        <f t="shared" si="8"/>
        <v>1238483.99</v>
      </c>
      <c r="AU18" s="7">
        <f t="shared" si="9"/>
        <v>6214399.6400000006</v>
      </c>
      <c r="AV18" s="10" t="e">
        <f t="shared" si="0"/>
        <v>#REF!</v>
      </c>
      <c r="AW18" s="10"/>
      <c r="AX18" s="10"/>
      <c r="AY18" s="8">
        <v>1076018.97</v>
      </c>
      <c r="AZ18" s="8"/>
      <c r="BA18" s="8">
        <f t="shared" si="10"/>
        <v>1076018.97</v>
      </c>
      <c r="BB18" s="10"/>
      <c r="BC18" s="10"/>
      <c r="BD18" s="8">
        <v>1128722.78</v>
      </c>
      <c r="BE18" s="8"/>
      <c r="BF18" s="8">
        <f t="shared" si="11"/>
        <v>1128722.78</v>
      </c>
      <c r="BG18" s="7">
        <f t="shared" si="12"/>
        <v>2204741.75</v>
      </c>
      <c r="BH18" s="10"/>
      <c r="BI18" s="10"/>
      <c r="BJ18" s="10"/>
      <c r="BK18" s="8">
        <v>1156115.42</v>
      </c>
      <c r="BL18" s="8"/>
      <c r="BM18" s="10"/>
      <c r="BN18" s="10"/>
      <c r="BO18" s="10"/>
      <c r="BP18" s="8">
        <v>796070.68</v>
      </c>
      <c r="BQ18" s="8"/>
      <c r="BR18" s="10"/>
      <c r="BS18" s="9">
        <f t="shared" si="13"/>
        <v>16644205</v>
      </c>
      <c r="BT18" s="9">
        <f>F18+K18+Q18+V18+AB18+AG18+AN18+AS18+AZ18+BE18+BL18+BQ18</f>
        <v>6272877.5099999998</v>
      </c>
      <c r="BU18" s="11">
        <f>BS18-BT18</f>
        <v>10371327.49</v>
      </c>
      <c r="IL18" s="3"/>
      <c r="IM18" s="3"/>
      <c r="IN18" s="3"/>
      <c r="IO18" s="3"/>
      <c r="IP18" s="3"/>
      <c r="IQ18" s="3"/>
      <c r="IR18" s="3"/>
      <c r="IS18" s="3"/>
    </row>
    <row r="19" spans="1:253" s="2" customFormat="1" ht="12.75" customHeight="1" x14ac:dyDescent="0.2">
      <c r="A19" s="5" t="s">
        <v>49</v>
      </c>
      <c r="B19" s="5">
        <v>16221391.59</v>
      </c>
      <c r="C19" s="6"/>
      <c r="D19" s="7"/>
      <c r="E19" s="6">
        <f>3168264.91+9959524.63</f>
        <v>13127789.540000001</v>
      </c>
      <c r="F19" s="6">
        <v>2187334.71</v>
      </c>
      <c r="G19" s="6">
        <f t="shared" si="2"/>
        <v>10940454.830000002</v>
      </c>
      <c r="H19" s="6"/>
      <c r="I19" s="6"/>
      <c r="J19" s="6">
        <f>1477768.77+G19+28100</f>
        <v>12446323.600000001</v>
      </c>
      <c r="K19" s="6">
        <v>2023544</v>
      </c>
      <c r="L19" s="6">
        <f>J19-K19</f>
        <v>10422779.600000001</v>
      </c>
      <c r="M19" s="7">
        <f t="shared" si="4"/>
        <v>4210878.71</v>
      </c>
      <c r="N19" s="6"/>
      <c r="O19" s="13"/>
      <c r="P19" s="6">
        <f>1431667.57+L19+83776</f>
        <v>11938223.170000002</v>
      </c>
      <c r="Q19" s="6">
        <v>2145512.52</v>
      </c>
      <c r="R19" s="6">
        <f t="shared" si="5"/>
        <v>9792710.6500000022</v>
      </c>
      <c r="S19" s="6"/>
      <c r="T19" s="12"/>
      <c r="U19" s="6">
        <f>1249777.11+R19</f>
        <v>11042487.760000002</v>
      </c>
      <c r="V19" s="6">
        <v>2149675.1</v>
      </c>
      <c r="W19" s="6">
        <f t="shared" si="14"/>
        <v>8892812.660000002</v>
      </c>
      <c r="X19" s="9">
        <f t="shared" si="6"/>
        <v>4295187.62</v>
      </c>
      <c r="Y19" s="8"/>
      <c r="Z19" s="8"/>
      <c r="AA19" s="8">
        <f>1074959.18+W19-1174997.16</f>
        <v>8792774.6800000016</v>
      </c>
      <c r="AB19" s="8">
        <v>2747861.98</v>
      </c>
      <c r="AC19" s="8">
        <f t="shared" si="7"/>
        <v>6044912.7000000011</v>
      </c>
      <c r="AD19" s="8"/>
      <c r="AE19" s="10"/>
      <c r="AF19" s="8">
        <f>1167453.55+AC19+2616900</f>
        <v>9829266.25</v>
      </c>
      <c r="AG19" s="8">
        <v>1982615.16</v>
      </c>
      <c r="AH19" s="8">
        <f t="shared" si="1"/>
        <v>7846651.0899999999</v>
      </c>
      <c r="AI19" s="7">
        <f t="shared" si="15"/>
        <v>4730477.1399999997</v>
      </c>
      <c r="AJ19" s="8" t="e">
        <f>#REF!+AI19</f>
        <v>#REF!</v>
      </c>
      <c r="AK19" s="8"/>
      <c r="AL19" s="8"/>
      <c r="AM19" s="8">
        <f>1143218.79+AH19</f>
        <v>8989869.879999999</v>
      </c>
      <c r="AN19" s="8"/>
      <c r="AO19" s="8">
        <f t="shared" si="16"/>
        <v>8989869.879999999</v>
      </c>
      <c r="AP19" s="8"/>
      <c r="AQ19" s="8"/>
      <c r="AR19" s="8">
        <v>1264392.58</v>
      </c>
      <c r="AS19" s="8"/>
      <c r="AT19" s="8">
        <f t="shared" si="8"/>
        <v>1264392.58</v>
      </c>
      <c r="AU19" s="7">
        <f t="shared" si="9"/>
        <v>10254262.459999999</v>
      </c>
      <c r="AV19" s="10" t="e">
        <f t="shared" si="0"/>
        <v>#REF!</v>
      </c>
      <c r="AW19" s="8"/>
      <c r="AX19" s="8"/>
      <c r="AY19" s="8">
        <v>1098528.8600000001</v>
      </c>
      <c r="AZ19" s="8"/>
      <c r="BA19" s="8">
        <f t="shared" si="10"/>
        <v>1098528.8600000001</v>
      </c>
      <c r="BB19" s="8"/>
      <c r="BC19" s="8"/>
      <c r="BD19" s="8">
        <v>1152335.22</v>
      </c>
      <c r="BE19" s="8"/>
      <c r="BF19" s="8">
        <f t="shared" si="11"/>
        <v>1152335.22</v>
      </c>
      <c r="BG19" s="7">
        <f t="shared" si="12"/>
        <v>2250864.08</v>
      </c>
      <c r="BH19" s="10"/>
      <c r="BI19" s="8"/>
      <c r="BJ19" s="8"/>
      <c r="BK19" s="8">
        <v>1180300.8899999999</v>
      </c>
      <c r="BL19" s="8"/>
      <c r="BM19" s="8"/>
      <c r="BN19" s="8"/>
      <c r="BO19" s="8"/>
      <c r="BP19" s="8">
        <v>812724.16</v>
      </c>
      <c r="BQ19" s="8"/>
      <c r="BR19" s="10"/>
      <c r="BS19" s="9">
        <f t="shared" si="13"/>
        <v>27734695.059999999</v>
      </c>
      <c r="BT19" s="9">
        <f>F19+K19+Q19+V19+AB19+AG19+AN19+AS19+AZ19+BE19+BL19+BQ19</f>
        <v>13236543.470000001</v>
      </c>
      <c r="BU19" s="11">
        <f>BS19-BT19</f>
        <v>14498151.589999998</v>
      </c>
      <c r="IL19" s="3"/>
      <c r="IM19" s="3"/>
      <c r="IN19" s="3"/>
      <c r="IO19" s="3"/>
      <c r="IP19" s="3"/>
      <c r="IQ19" s="3"/>
      <c r="IR19" s="3"/>
      <c r="IS19" s="3"/>
    </row>
    <row r="20" spans="1:253" s="2" customFormat="1" ht="12.75" customHeight="1" x14ac:dyDescent="0.2">
      <c r="A20" s="5" t="s">
        <v>50</v>
      </c>
      <c r="B20" s="5">
        <v>8060000</v>
      </c>
      <c r="C20" s="6">
        <f>620000+300000</f>
        <v>920000</v>
      </c>
      <c r="D20" s="7">
        <v>678784.18</v>
      </c>
      <c r="E20" s="6"/>
      <c r="F20" s="6"/>
      <c r="G20" s="6">
        <f>C20-D20</f>
        <v>241215.81999999995</v>
      </c>
      <c r="H20" s="6">
        <f>620000+G20</f>
        <v>861215.82</v>
      </c>
      <c r="I20" s="6">
        <v>675457.58</v>
      </c>
      <c r="J20" s="6"/>
      <c r="K20" s="6"/>
      <c r="L20" s="6">
        <f>H20-I20</f>
        <v>185758.24</v>
      </c>
      <c r="M20" s="7">
        <f>SUM(D20+I20)</f>
        <v>1354241.76</v>
      </c>
      <c r="N20" s="6">
        <f>622000+L20</f>
        <v>807758.24</v>
      </c>
      <c r="O20" s="6">
        <v>672308.89</v>
      </c>
      <c r="P20" s="6"/>
      <c r="Q20" s="6"/>
      <c r="R20" s="6">
        <f>N20-O20</f>
        <v>135449.34999999998</v>
      </c>
      <c r="S20" s="6">
        <f>622000+R20</f>
        <v>757449.35</v>
      </c>
      <c r="T20" s="6">
        <v>665708.41</v>
      </c>
      <c r="U20" s="6"/>
      <c r="V20" s="6"/>
      <c r="W20" s="6">
        <f t="shared" ref="W20:W21" si="17">S20-T20</f>
        <v>91740.939999999944</v>
      </c>
      <c r="X20" s="9">
        <f>O20+T20</f>
        <v>1338017.3</v>
      </c>
      <c r="Y20" s="8">
        <f>622000+W20</f>
        <v>713740.94</v>
      </c>
      <c r="Z20" s="8">
        <v>666365.89</v>
      </c>
      <c r="AA20" s="8"/>
      <c r="AB20" s="8"/>
      <c r="AC20" s="8">
        <f>Y20-Z20</f>
        <v>47375.04999999993</v>
      </c>
      <c r="AD20" s="8">
        <f>622000+AC20</f>
        <v>669375.04999999993</v>
      </c>
      <c r="AE20" s="8">
        <v>660679.39</v>
      </c>
      <c r="AF20" s="8"/>
      <c r="AG20" s="8"/>
      <c r="AH20" s="8">
        <f>AD20-AE20</f>
        <v>8695.6599999999162</v>
      </c>
      <c r="AI20" s="7">
        <f>Z20+AE20</f>
        <v>1327045.28</v>
      </c>
      <c r="AJ20" s="8" t="e">
        <f>#REF!+AI20</f>
        <v>#REF!</v>
      </c>
      <c r="AK20" s="8">
        <f>622000+AH20</f>
        <v>630695.65999999992</v>
      </c>
      <c r="AL20" s="8"/>
      <c r="AM20" s="8"/>
      <c r="AN20" s="8"/>
      <c r="AO20" s="8">
        <f>AK20-AL20</f>
        <v>630695.65999999992</v>
      </c>
      <c r="AP20" s="8">
        <v>622000</v>
      </c>
      <c r="AQ20" s="8"/>
      <c r="AR20" s="8"/>
      <c r="AS20" s="8"/>
      <c r="AT20" s="8">
        <f>AP20-AQ20</f>
        <v>622000</v>
      </c>
      <c r="AU20" s="7">
        <f>AK20+AP20</f>
        <v>1252695.6599999999</v>
      </c>
      <c r="AV20" s="8" t="e">
        <f t="shared" si="0"/>
        <v>#REF!</v>
      </c>
      <c r="AW20" s="8">
        <v>622000</v>
      </c>
      <c r="AX20" s="8"/>
      <c r="AY20" s="8"/>
      <c r="AZ20" s="8"/>
      <c r="BA20" s="8">
        <f>AW20-AX20</f>
        <v>622000</v>
      </c>
      <c r="BB20" s="8">
        <v>622000</v>
      </c>
      <c r="BC20" s="8"/>
      <c r="BD20" s="8"/>
      <c r="BE20" s="8"/>
      <c r="BF20" s="8">
        <f>BB20-BC20</f>
        <v>622000</v>
      </c>
      <c r="BG20" s="7">
        <f>AW20+BB20</f>
        <v>1244000</v>
      </c>
      <c r="BH20" s="8"/>
      <c r="BI20" s="8">
        <v>622000</v>
      </c>
      <c r="BJ20" s="8"/>
      <c r="BK20" s="8"/>
      <c r="BL20" s="8"/>
      <c r="BM20" s="8"/>
      <c r="BN20" s="8">
        <f>1222000-300000</f>
        <v>922000</v>
      </c>
      <c r="BO20" s="8"/>
      <c r="BP20" s="8"/>
      <c r="BQ20" s="8"/>
      <c r="BR20" s="8"/>
      <c r="BS20" s="9">
        <f>M20+X20+AI20+AU20+BG20+BI20+BN20</f>
        <v>8060000</v>
      </c>
      <c r="BT20" s="9">
        <f>F20+K20+Q20+V20+AB20+AG20+AN20+AS20+AZ20+BE20+BL20+BQ20</f>
        <v>0</v>
      </c>
      <c r="BU20" s="9">
        <f>BS20-BT20</f>
        <v>8060000</v>
      </c>
      <c r="IL20" s="3"/>
      <c r="IM20" s="3"/>
      <c r="IN20" s="3"/>
      <c r="IO20" s="3"/>
      <c r="IP20" s="3"/>
      <c r="IQ20" s="3"/>
      <c r="IR20" s="3"/>
      <c r="IS20" s="3"/>
    </row>
    <row r="21" spans="1:253" s="2" customFormat="1" ht="12.75" customHeight="1" x14ac:dyDescent="0.2">
      <c r="A21" s="5" t="s">
        <v>51</v>
      </c>
      <c r="B21" s="5">
        <v>2376000</v>
      </c>
      <c r="C21" s="6">
        <f>200000+20000</f>
        <v>220000</v>
      </c>
      <c r="D21" s="7">
        <v>210057.88</v>
      </c>
      <c r="E21" s="6"/>
      <c r="F21" s="6"/>
      <c r="G21" s="6">
        <f>C21-D21</f>
        <v>9942.1199999999953</v>
      </c>
      <c r="H21" s="6">
        <f>200000+G21</f>
        <v>209942.12</v>
      </c>
      <c r="I21" s="6">
        <v>199496.64</v>
      </c>
      <c r="J21" s="6"/>
      <c r="K21" s="6"/>
      <c r="L21" s="6">
        <f>H21-I21</f>
        <v>10445.479999999981</v>
      </c>
      <c r="M21" s="7">
        <f>SUM(D21+I21)</f>
        <v>409554.52</v>
      </c>
      <c r="N21" s="6">
        <f>200000+L21</f>
        <v>210445.47999999998</v>
      </c>
      <c r="O21" s="6">
        <v>199504.68</v>
      </c>
      <c r="P21" s="6"/>
      <c r="Q21" s="6"/>
      <c r="R21" s="6">
        <f>N21-O21</f>
        <v>10940.799999999988</v>
      </c>
      <c r="S21" s="6">
        <f>200000+R21</f>
        <v>210940.79999999999</v>
      </c>
      <c r="T21" s="6">
        <v>199191.64</v>
      </c>
      <c r="U21" s="6"/>
      <c r="V21" s="6"/>
      <c r="W21" s="6">
        <f t="shared" si="17"/>
        <v>11749.159999999974</v>
      </c>
      <c r="X21" s="9">
        <f>O21+T21</f>
        <v>398696.32</v>
      </c>
      <c r="Y21" s="8">
        <f>200000+W21</f>
        <v>211749.15999999997</v>
      </c>
      <c r="Z21" s="8">
        <v>199018.37</v>
      </c>
      <c r="AA21" s="8"/>
      <c r="AB21" s="8"/>
      <c r="AC21" s="8">
        <f>Y21-Z21</f>
        <v>12730.789999999979</v>
      </c>
      <c r="AD21" s="8">
        <f>200000+AC21</f>
        <v>212730.78999999998</v>
      </c>
      <c r="AE21" s="8">
        <v>199262.57</v>
      </c>
      <c r="AF21" s="8"/>
      <c r="AG21" s="8"/>
      <c r="AH21" s="8">
        <f>AD21-AE21</f>
        <v>13468.219999999972</v>
      </c>
      <c r="AI21" s="7">
        <f>Z21+AE21</f>
        <v>398280.94</v>
      </c>
      <c r="AJ21" s="8" t="e">
        <f>#REF!+AI21</f>
        <v>#REF!</v>
      </c>
      <c r="AK21" s="8">
        <f>200000+AH21</f>
        <v>213468.21999999997</v>
      </c>
      <c r="AL21" s="8"/>
      <c r="AM21" s="8"/>
      <c r="AN21" s="8"/>
      <c r="AO21" s="8">
        <f>AK21-AL21</f>
        <v>213468.21999999997</v>
      </c>
      <c r="AP21" s="8">
        <v>200000</v>
      </c>
      <c r="AQ21" s="8"/>
      <c r="AR21" s="8"/>
      <c r="AS21" s="8"/>
      <c r="AT21" s="8">
        <f>AP21-AQ21</f>
        <v>200000</v>
      </c>
      <c r="AU21" s="7">
        <f>AK21+AP21</f>
        <v>413468.22</v>
      </c>
      <c r="AV21" s="10" t="e">
        <f t="shared" si="0"/>
        <v>#REF!</v>
      </c>
      <c r="AW21" s="8">
        <v>200000</v>
      </c>
      <c r="AX21" s="8"/>
      <c r="AY21" s="8"/>
      <c r="AZ21" s="8"/>
      <c r="BA21" s="8">
        <f>AW21-AX21</f>
        <v>200000</v>
      </c>
      <c r="BB21" s="8">
        <v>200000</v>
      </c>
      <c r="BC21" s="8"/>
      <c r="BD21" s="8"/>
      <c r="BE21" s="8"/>
      <c r="BF21" s="8">
        <f>BB21-BC21</f>
        <v>200000</v>
      </c>
      <c r="BG21" s="7">
        <f>AW21+BB21</f>
        <v>400000</v>
      </c>
      <c r="BH21" s="10"/>
      <c r="BI21" s="8">
        <v>200000</v>
      </c>
      <c r="BJ21" s="8"/>
      <c r="BK21" s="8"/>
      <c r="BL21" s="8"/>
      <c r="BM21" s="8"/>
      <c r="BN21" s="8">
        <f>176000-20000</f>
        <v>156000</v>
      </c>
      <c r="BO21" s="8"/>
      <c r="BP21" s="8"/>
      <c r="BQ21" s="8"/>
      <c r="BR21" s="8"/>
      <c r="BS21" s="9">
        <f>M21+X21+AI21+AU21+BG21+BI21+BN21</f>
        <v>2376000</v>
      </c>
      <c r="BT21" s="9"/>
      <c r="BU21" s="9"/>
      <c r="IL21" s="3"/>
      <c r="IM21" s="3"/>
      <c r="IN21" s="3"/>
      <c r="IO21" s="3"/>
      <c r="IP21" s="3"/>
      <c r="IQ21" s="3"/>
      <c r="IR21" s="3"/>
      <c r="IS21" s="3"/>
    </row>
    <row r="22" spans="1:253" s="2" customFormat="1" ht="12.75" customHeight="1" x14ac:dyDescent="0.2">
      <c r="A22" s="5" t="s">
        <v>52</v>
      </c>
      <c r="B22" s="5">
        <v>118790530.78</v>
      </c>
      <c r="C22" s="6"/>
      <c r="D22" s="7"/>
      <c r="E22" s="6">
        <f>23201453.71+776222.91</f>
        <v>23977676.620000001</v>
      </c>
      <c r="F22" s="6">
        <v>8315556.9900000002</v>
      </c>
      <c r="G22" s="6">
        <f t="shared" si="2"/>
        <v>15662119.630000001</v>
      </c>
      <c r="H22" s="6"/>
      <c r="I22" s="6"/>
      <c r="J22" s="6">
        <f>10821817.35+G22</f>
        <v>26483936.98</v>
      </c>
      <c r="K22" s="6">
        <v>8574562.9499999993</v>
      </c>
      <c r="L22" s="6">
        <f t="shared" si="3"/>
        <v>17909374.030000001</v>
      </c>
      <c r="M22" s="7">
        <f t="shared" ref="M22:M23" si="18">F22+K22</f>
        <v>16890119.939999998</v>
      </c>
      <c r="N22" s="6"/>
      <c r="O22" s="13"/>
      <c r="P22" s="6">
        <f>10484214.67+L22+30000</f>
        <v>28423588.700000003</v>
      </c>
      <c r="Q22" s="6">
        <v>11131101.66</v>
      </c>
      <c r="R22" s="6">
        <f t="shared" si="5"/>
        <v>17292487.040000003</v>
      </c>
      <c r="S22" s="12"/>
      <c r="T22" s="12"/>
      <c r="U22" s="6">
        <f>9152216.45+R22+717623.3</f>
        <v>27162326.790000003</v>
      </c>
      <c r="V22" s="6">
        <v>8293656.4500000002</v>
      </c>
      <c r="W22" s="6">
        <f t="shared" si="14"/>
        <v>18868670.340000004</v>
      </c>
      <c r="X22" s="9">
        <f t="shared" ref="X22:X23" si="19">Q22+V22</f>
        <v>19424758.109999999</v>
      </c>
      <c r="Y22" s="8"/>
      <c r="Z22" s="8"/>
      <c r="AA22" s="8">
        <f>7872010.89+W22+1108200</f>
        <v>27848881.230000004</v>
      </c>
      <c r="AB22" s="8">
        <v>9967285.7300000004</v>
      </c>
      <c r="AC22" s="8">
        <f t="shared" si="7"/>
        <v>17881595.500000004</v>
      </c>
      <c r="AD22" s="10"/>
      <c r="AE22" s="10"/>
      <c r="AF22" s="8">
        <f>8549354.5+AC22+1000000</f>
        <v>27430950.000000004</v>
      </c>
      <c r="AG22" s="8">
        <v>8583931.0899999999</v>
      </c>
      <c r="AH22" s="8">
        <f t="shared" si="1"/>
        <v>18847018.910000004</v>
      </c>
      <c r="AI22" s="7">
        <f t="shared" ref="AI22:AI23" si="20">AB22+AG22</f>
        <v>18551216.82</v>
      </c>
      <c r="AJ22" s="8" t="e">
        <f>#REF!+AI22</f>
        <v>#REF!</v>
      </c>
      <c r="AK22" s="10"/>
      <c r="AL22" s="8"/>
      <c r="AM22" s="8">
        <f>8371881.45+AH22</f>
        <v>27218900.360000003</v>
      </c>
      <c r="AN22" s="8"/>
      <c r="AO22" s="8">
        <f t="shared" si="16"/>
        <v>27218900.360000003</v>
      </c>
      <c r="AP22" s="10"/>
      <c r="AQ22" s="10"/>
      <c r="AR22" s="8">
        <v>9259246.7100000009</v>
      </c>
      <c r="AS22" s="8"/>
      <c r="AT22" s="8">
        <f t="shared" si="8"/>
        <v>9259246.7100000009</v>
      </c>
      <c r="AU22" s="7">
        <f t="shared" ref="AU22:AU23" si="21">AM22+AR22</f>
        <v>36478147.070000008</v>
      </c>
      <c r="AV22" s="10" t="e">
        <f t="shared" si="0"/>
        <v>#REF!</v>
      </c>
      <c r="AW22" s="10"/>
      <c r="AX22" s="10"/>
      <c r="AY22" s="8">
        <v>8044613.5499999998</v>
      </c>
      <c r="AZ22" s="8"/>
      <c r="BA22" s="8">
        <f t="shared" si="10"/>
        <v>8044613.5499999998</v>
      </c>
      <c r="BB22" s="10"/>
      <c r="BC22" s="10"/>
      <c r="BD22" s="8">
        <v>8438641.7300000004</v>
      </c>
      <c r="BE22" s="8"/>
      <c r="BF22" s="8">
        <f t="shared" si="11"/>
        <v>8438641.7300000004</v>
      </c>
      <c r="BG22" s="7">
        <f t="shared" ref="BG22:BG23" si="22">BA22+BF22</f>
        <v>16483255.280000001</v>
      </c>
      <c r="BH22" s="10"/>
      <c r="BI22" s="10"/>
      <c r="BJ22" s="10"/>
      <c r="BK22" s="8">
        <v>8643436.5999999996</v>
      </c>
      <c r="BL22" s="8"/>
      <c r="BM22" s="10"/>
      <c r="BN22" s="10"/>
      <c r="BO22" s="10"/>
      <c r="BP22" s="8">
        <v>5951643.1699999999</v>
      </c>
      <c r="BQ22" s="8"/>
      <c r="BR22" s="10"/>
      <c r="BS22" s="9">
        <f t="shared" ref="BS22" si="23">M22+X22+AI22+AU22+BG22+BK22+BP22</f>
        <v>122422576.98999999</v>
      </c>
      <c r="BT22" s="9">
        <f>F22+K22+Q22+V22+AB22+AG22+AN22+AS22+AZ22+BE22+BL22+BQ22</f>
        <v>54866094.870000005</v>
      </c>
      <c r="BU22" s="11">
        <f>BS22-BT22</f>
        <v>67556482.11999999</v>
      </c>
      <c r="IL22" s="3"/>
      <c r="IM22" s="3"/>
      <c r="IN22" s="3"/>
      <c r="IO22" s="3"/>
      <c r="IP22" s="3"/>
      <c r="IQ22" s="3"/>
      <c r="IR22" s="3"/>
      <c r="IS22" s="3"/>
    </row>
    <row r="23" spans="1:253" s="2" customFormat="1" ht="12.75" customHeight="1" x14ac:dyDescent="0.2">
      <c r="A23" s="5" t="s">
        <v>55</v>
      </c>
      <c r="B23" s="5">
        <v>1953000</v>
      </c>
      <c r="C23" s="6"/>
      <c r="D23" s="7"/>
      <c r="E23" s="6">
        <f>381448.22+17500</f>
        <v>398948.22</v>
      </c>
      <c r="F23" s="6">
        <v>148889.09</v>
      </c>
      <c r="G23" s="6">
        <f t="shared" si="2"/>
        <v>250059.12999999998</v>
      </c>
      <c r="H23" s="6"/>
      <c r="I23" s="6"/>
      <c r="J23" s="6">
        <f>177918.3+G23+3500</f>
        <v>431477.42999999993</v>
      </c>
      <c r="K23" s="6">
        <v>150198.57</v>
      </c>
      <c r="L23" s="6">
        <f t="shared" si="3"/>
        <v>281278.85999999993</v>
      </c>
      <c r="M23" s="7">
        <f t="shared" si="18"/>
        <v>299087.66000000003</v>
      </c>
      <c r="N23" s="6"/>
      <c r="O23" s="13"/>
      <c r="P23" s="6">
        <f>172367.88+L23+3300</f>
        <v>456946.73999999993</v>
      </c>
      <c r="Q23" s="6">
        <v>141051.06</v>
      </c>
      <c r="R23" s="6">
        <f t="shared" si="5"/>
        <v>315895.67999999993</v>
      </c>
      <c r="S23" s="12"/>
      <c r="T23" s="12"/>
      <c r="U23" s="6">
        <f>150468.89+R23</f>
        <v>466364.56999999995</v>
      </c>
      <c r="V23" s="6">
        <v>152138.39000000001</v>
      </c>
      <c r="W23" s="6">
        <f t="shared" si="14"/>
        <v>314226.17999999993</v>
      </c>
      <c r="X23" s="9">
        <f t="shared" si="19"/>
        <v>293189.45</v>
      </c>
      <c r="Y23" s="8"/>
      <c r="Z23" s="8"/>
      <c r="AA23" s="8">
        <f>129421.41+W23</f>
        <v>443647.58999999997</v>
      </c>
      <c r="AB23" s="8">
        <v>161698.01</v>
      </c>
      <c r="AC23" s="8">
        <f t="shared" si="7"/>
        <v>281949.57999999996</v>
      </c>
      <c r="AD23" s="10"/>
      <c r="AE23" s="10"/>
      <c r="AF23" s="8">
        <f>140557.41+AC23</f>
        <v>422506.99</v>
      </c>
      <c r="AG23" s="8">
        <v>152260.17000000001</v>
      </c>
      <c r="AH23" s="8">
        <f t="shared" si="1"/>
        <v>270246.81999999995</v>
      </c>
      <c r="AI23" s="7">
        <f t="shared" si="20"/>
        <v>313958.18000000005</v>
      </c>
      <c r="AJ23" s="8"/>
      <c r="AK23" s="10"/>
      <c r="AL23" s="8"/>
      <c r="AM23" s="8">
        <f>137639.63+AH23</f>
        <v>407886.44999999995</v>
      </c>
      <c r="AN23" s="8"/>
      <c r="AO23" s="8">
        <f t="shared" si="16"/>
        <v>407886.44999999995</v>
      </c>
      <c r="AP23" s="10"/>
      <c r="AQ23" s="10"/>
      <c r="AR23" s="8">
        <v>152228.54</v>
      </c>
      <c r="AS23" s="8"/>
      <c r="AT23" s="8">
        <f t="shared" si="8"/>
        <v>152228.54</v>
      </c>
      <c r="AU23" s="7">
        <f t="shared" si="21"/>
        <v>560114.99</v>
      </c>
      <c r="AV23" s="10"/>
      <c r="AW23" s="10"/>
      <c r="AX23" s="10"/>
      <c r="AY23" s="8">
        <v>132259.12</v>
      </c>
      <c r="AZ23" s="8"/>
      <c r="BA23" s="8">
        <f t="shared" si="10"/>
        <v>132259.12</v>
      </c>
      <c r="BB23" s="10"/>
      <c r="BC23" s="10"/>
      <c r="BD23" s="8">
        <v>138737.22</v>
      </c>
      <c r="BE23" s="8"/>
      <c r="BF23" s="8">
        <f t="shared" si="11"/>
        <v>138737.22</v>
      </c>
      <c r="BG23" s="7">
        <f t="shared" si="22"/>
        <v>270996.33999999997</v>
      </c>
      <c r="BH23" s="10"/>
      <c r="BI23" s="10"/>
      <c r="BJ23" s="10"/>
      <c r="BK23" s="8">
        <v>142104.18</v>
      </c>
      <c r="BL23" s="8"/>
      <c r="BM23" s="10"/>
      <c r="BN23" s="10"/>
      <c r="BO23" s="10"/>
      <c r="BP23" s="8">
        <v>97849.2</v>
      </c>
      <c r="BQ23" s="8"/>
      <c r="BR23" s="10"/>
      <c r="BS23" s="9">
        <f>M23+X23+AI23+AU23+BG23+BK23+BP23</f>
        <v>1977300</v>
      </c>
      <c r="BT23" s="9">
        <f>F23+K23+Q23+V23+AB23+AG23+AN23+AS23+AZ23+BE23+BL23+BQ23</f>
        <v>906235.29000000015</v>
      </c>
      <c r="BU23" s="11">
        <f>BS23-BT23</f>
        <v>1071064.71</v>
      </c>
      <c r="IL23" s="3"/>
      <c r="IM23" s="3"/>
      <c r="IN23" s="3"/>
      <c r="IO23" s="3"/>
      <c r="IP23" s="3"/>
      <c r="IQ23" s="3"/>
      <c r="IR23" s="3"/>
      <c r="IS23" s="3"/>
    </row>
    <row r="24" spans="1:253" s="16" customFormat="1" ht="12.75" customHeight="1" x14ac:dyDescent="0.2">
      <c r="A24" s="14" t="s">
        <v>20</v>
      </c>
      <c r="B24" s="15">
        <f>SUM(B5:B23)</f>
        <v>658786000</v>
      </c>
      <c r="C24" s="9">
        <f>SUM(C5:C23)</f>
        <v>4340000</v>
      </c>
      <c r="D24" s="9">
        <f t="shared" ref="D24:BN24" si="24">SUM(D5:D23)</f>
        <v>3924620.62</v>
      </c>
      <c r="E24" s="9">
        <f t="shared" si="24"/>
        <v>193916197.23999998</v>
      </c>
      <c r="F24" s="9">
        <f t="shared" si="24"/>
        <v>40242356.63000001</v>
      </c>
      <c r="G24" s="9">
        <f>SUM(G5:G23)</f>
        <v>154089219.99000001</v>
      </c>
      <c r="H24" s="9">
        <f t="shared" si="24"/>
        <v>4235379.38</v>
      </c>
      <c r="I24" s="9">
        <f t="shared" si="24"/>
        <v>3951208.91</v>
      </c>
      <c r="J24" s="9">
        <f t="shared" si="24"/>
        <v>215834409.20000002</v>
      </c>
      <c r="K24" s="9">
        <f t="shared" si="24"/>
        <v>40678413.029999994</v>
      </c>
      <c r="L24" s="9">
        <f t="shared" si="24"/>
        <v>175440166.64000002</v>
      </c>
      <c r="M24" s="9">
        <f>SUM(M5:M23)</f>
        <v>88796599.189999983</v>
      </c>
      <c r="N24" s="9">
        <f t="shared" si="24"/>
        <v>3906170.47</v>
      </c>
      <c r="O24" s="9">
        <f t="shared" si="24"/>
        <v>3723273.47</v>
      </c>
      <c r="P24" s="9">
        <f>SUM(P5:P23)</f>
        <v>227136453.47999996</v>
      </c>
      <c r="Q24" s="9">
        <f t="shared" si="24"/>
        <v>48370175.840000004</v>
      </c>
      <c r="R24" s="9">
        <f t="shared" si="24"/>
        <v>178949174.64000002</v>
      </c>
      <c r="S24" s="9">
        <f t="shared" si="24"/>
        <v>3824897</v>
      </c>
      <c r="T24" s="9">
        <f>SUM(T5:T23)</f>
        <v>3717752.24</v>
      </c>
      <c r="U24" s="9">
        <f t="shared" si="24"/>
        <v>236075455.74999997</v>
      </c>
      <c r="V24" s="9">
        <f t="shared" si="24"/>
        <v>45698623.979999997</v>
      </c>
      <c r="W24" s="9">
        <f t="shared" si="24"/>
        <v>190483976.53000003</v>
      </c>
      <c r="X24" s="9">
        <f>SUM(X5:X23)</f>
        <v>101509825.53</v>
      </c>
      <c r="Y24" s="9">
        <f t="shared" si="24"/>
        <v>3829144.7600000002</v>
      </c>
      <c r="Z24" s="9">
        <f t="shared" si="24"/>
        <v>3737968.0500000003</v>
      </c>
      <c r="AA24" s="9">
        <f>SUM(AA5:AA23)</f>
        <v>240874321.83000001</v>
      </c>
      <c r="AB24" s="9">
        <f t="shared" si="24"/>
        <v>53168786.160000004</v>
      </c>
      <c r="AC24" s="9">
        <f t="shared" si="24"/>
        <v>187796712.38</v>
      </c>
      <c r="AD24" s="9">
        <f t="shared" si="24"/>
        <v>3413176.71</v>
      </c>
      <c r="AE24" s="9">
        <f t="shared" si="24"/>
        <v>2476879.0699999998</v>
      </c>
      <c r="AF24" s="9">
        <f t="shared" si="24"/>
        <v>247116392.12</v>
      </c>
      <c r="AG24" s="9">
        <f t="shared" si="24"/>
        <v>47017832.599999994</v>
      </c>
      <c r="AH24" s="9">
        <f t="shared" si="24"/>
        <v>201034857.15999997</v>
      </c>
      <c r="AI24" s="9">
        <f t="shared" si="24"/>
        <v>106401465.88</v>
      </c>
      <c r="AJ24" s="9" t="e">
        <f t="shared" si="24"/>
        <v>#REF!</v>
      </c>
      <c r="AK24" s="9">
        <f t="shared" si="24"/>
        <v>4258297.6399999997</v>
      </c>
      <c r="AL24" s="9">
        <f t="shared" si="24"/>
        <v>0</v>
      </c>
      <c r="AM24" s="9">
        <f t="shared" si="24"/>
        <v>243863450.82999995</v>
      </c>
      <c r="AN24" s="9">
        <f t="shared" si="24"/>
        <v>0</v>
      </c>
      <c r="AO24" s="9">
        <f t="shared" si="24"/>
        <v>248121748.46999994</v>
      </c>
      <c r="AP24" s="9">
        <f t="shared" si="24"/>
        <v>2422000</v>
      </c>
      <c r="AQ24" s="9">
        <f t="shared" si="24"/>
        <v>0</v>
      </c>
      <c r="AR24" s="9">
        <f t="shared" si="24"/>
        <v>48403686.57</v>
      </c>
      <c r="AS24" s="9">
        <f t="shared" si="24"/>
        <v>0</v>
      </c>
      <c r="AT24" s="9">
        <f t="shared" si="24"/>
        <v>50825686.57</v>
      </c>
      <c r="AU24" s="9">
        <f t="shared" si="24"/>
        <v>298947435.03999996</v>
      </c>
      <c r="AV24" s="9" t="e">
        <f t="shared" si="24"/>
        <v>#REF!</v>
      </c>
      <c r="AW24" s="9">
        <f t="shared" si="24"/>
        <v>2422000</v>
      </c>
      <c r="AX24" s="9">
        <f t="shared" si="24"/>
        <v>0</v>
      </c>
      <c r="AY24" s="9">
        <f t="shared" si="24"/>
        <v>42054063.789999999</v>
      </c>
      <c r="AZ24" s="9">
        <f t="shared" si="24"/>
        <v>0</v>
      </c>
      <c r="BA24" s="9">
        <f t="shared" si="24"/>
        <v>44476063.789999999</v>
      </c>
      <c r="BB24" s="9">
        <f t="shared" si="24"/>
        <v>2422000</v>
      </c>
      <c r="BC24" s="9">
        <f t="shared" si="24"/>
        <v>0</v>
      </c>
      <c r="BD24" s="9">
        <f t="shared" si="24"/>
        <v>59113887.640000001</v>
      </c>
      <c r="BE24" s="9">
        <f t="shared" si="24"/>
        <v>0</v>
      </c>
      <c r="BF24" s="9">
        <f t="shared" si="24"/>
        <v>61535887.640000001</v>
      </c>
      <c r="BG24" s="9">
        <f t="shared" si="24"/>
        <v>106011951.42999999</v>
      </c>
      <c r="BH24" s="9">
        <f t="shared" si="24"/>
        <v>0</v>
      </c>
      <c r="BI24" s="9">
        <f t="shared" si="24"/>
        <v>2422000</v>
      </c>
      <c r="BJ24" s="9">
        <f t="shared" si="24"/>
        <v>0</v>
      </c>
      <c r="BK24" s="9">
        <f t="shared" si="24"/>
        <v>45184474.369999997</v>
      </c>
      <c r="BL24" s="9">
        <f t="shared" si="24"/>
        <v>0</v>
      </c>
      <c r="BM24" s="9">
        <f t="shared" si="24"/>
        <v>0</v>
      </c>
      <c r="BN24" s="9">
        <f t="shared" si="24"/>
        <v>2318000</v>
      </c>
      <c r="BO24" s="9">
        <f t="shared" ref="BO24:BU24" si="25">SUM(BO5:BO23)</f>
        <v>0</v>
      </c>
      <c r="BP24" s="9">
        <f t="shared" si="25"/>
        <v>31112840.949999999</v>
      </c>
      <c r="BQ24" s="9">
        <f t="shared" si="25"/>
        <v>0</v>
      </c>
      <c r="BR24" s="9">
        <f t="shared" si="25"/>
        <v>0</v>
      </c>
      <c r="BS24" s="9">
        <f>SUM(BS5:BS23)</f>
        <v>782704592.3900001</v>
      </c>
      <c r="BT24" s="9">
        <f t="shared" si="25"/>
        <v>84301793.960000008</v>
      </c>
      <c r="BU24" s="9">
        <f t="shared" si="25"/>
        <v>141344533.09</v>
      </c>
      <c r="BV24" s="2"/>
      <c r="IL24" s="46"/>
      <c r="IM24" s="46"/>
      <c r="IN24" s="46"/>
      <c r="IO24" s="46"/>
      <c r="IP24" s="46"/>
      <c r="IQ24" s="46"/>
      <c r="IR24" s="46"/>
      <c r="IS24" s="46"/>
    </row>
    <row r="25" spans="1:253" s="17" customFormat="1" ht="12.75" customHeight="1" x14ac:dyDescent="0.2">
      <c r="A25" s="38" t="s">
        <v>30</v>
      </c>
      <c r="B25" s="38">
        <v>3206430.78</v>
      </c>
      <c r="C25" s="39"/>
      <c r="D25" s="40"/>
      <c r="E25" s="39"/>
      <c r="F25" s="39"/>
      <c r="G25" s="39">
        <v>67000</v>
      </c>
      <c r="H25" s="39"/>
      <c r="I25" s="39"/>
      <c r="J25" s="39"/>
      <c r="K25" s="39"/>
      <c r="L25" s="39"/>
      <c r="M25" s="40">
        <f>SUM(G25+L25)</f>
        <v>67000</v>
      </c>
      <c r="N25" s="41"/>
      <c r="O25" s="41"/>
      <c r="P25" s="39"/>
      <c r="Q25" s="39"/>
      <c r="R25" s="39"/>
      <c r="S25" s="42"/>
      <c r="T25" s="42"/>
      <c r="U25" s="39"/>
      <c r="V25" s="39"/>
      <c r="W25" s="39"/>
      <c r="X25" s="40">
        <f>R25+V25</f>
        <v>0</v>
      </c>
      <c r="Y25" s="43"/>
      <c r="Z25" s="43"/>
      <c r="AA25" s="43"/>
      <c r="AB25" s="43"/>
      <c r="AC25" s="43"/>
      <c r="AD25" s="44"/>
      <c r="AE25" s="44"/>
      <c r="AF25" s="43"/>
      <c r="AG25" s="43"/>
      <c r="AH25" s="43"/>
      <c r="AI25" s="45">
        <f>AB25+AG25</f>
        <v>0</v>
      </c>
      <c r="AJ25" s="43" t="e">
        <f>#REF!+AI25</f>
        <v>#REF!</v>
      </c>
      <c r="AK25" s="44"/>
      <c r="AL25" s="43"/>
      <c r="AM25" s="43"/>
      <c r="AN25" s="43"/>
      <c r="AO25" s="43">
        <f>AN25</f>
        <v>0</v>
      </c>
      <c r="AP25" s="44"/>
      <c r="AQ25" s="44"/>
      <c r="AR25" s="43"/>
      <c r="AS25" s="43"/>
      <c r="AT25" s="43">
        <f>AH25-AS25</f>
        <v>0</v>
      </c>
      <c r="AU25" s="40">
        <f>SUM(AN25+AS25)</f>
        <v>0</v>
      </c>
      <c r="AV25" s="44" t="e">
        <f>AJ25+AU25</f>
        <v>#REF!</v>
      </c>
      <c r="AW25" s="44"/>
      <c r="AX25" s="44"/>
      <c r="AY25" s="43"/>
      <c r="AZ25" s="43"/>
      <c r="BA25" s="43">
        <f>AZ25</f>
        <v>0</v>
      </c>
      <c r="BB25" s="44"/>
      <c r="BC25" s="44"/>
      <c r="BD25" s="43"/>
      <c r="BE25" s="43"/>
      <c r="BF25" s="43">
        <f>BE25</f>
        <v>0</v>
      </c>
      <c r="BG25" s="45">
        <f>BA25+BF25</f>
        <v>0</v>
      </c>
      <c r="BH25" s="44"/>
      <c r="BI25" s="44"/>
      <c r="BJ25" s="44"/>
      <c r="BK25" s="43">
        <v>0</v>
      </c>
      <c r="BL25" s="43"/>
      <c r="BM25" s="44"/>
      <c r="BN25" s="44"/>
      <c r="BO25" s="44"/>
      <c r="BP25" s="43">
        <v>0</v>
      </c>
      <c r="BQ25" s="43"/>
      <c r="BR25" s="44"/>
      <c r="BS25" s="45">
        <f>B25-M25-X25-AI25-AU25-BG25-BI25-BK25</f>
        <v>3139430.78</v>
      </c>
      <c r="BT25" s="16"/>
      <c r="BU25" s="19"/>
      <c r="BV25" s="2"/>
      <c r="IL25" s="3"/>
      <c r="IM25" s="3"/>
      <c r="IN25" s="3"/>
      <c r="IO25" s="3"/>
      <c r="IP25" s="3"/>
      <c r="IQ25" s="3"/>
      <c r="IR25" s="3"/>
      <c r="IS25" s="3"/>
    </row>
    <row r="26" spans="1:253" s="17" customFormat="1" ht="12.75" customHeight="1" x14ac:dyDescent="0.2">
      <c r="D26" s="18"/>
      <c r="E26" s="18"/>
      <c r="F26" s="18"/>
      <c r="G26" s="24"/>
      <c r="H26" s="24"/>
      <c r="I26" s="24"/>
      <c r="J26" s="18"/>
      <c r="K26" s="18"/>
      <c r="L26" s="24"/>
      <c r="M26" s="16"/>
      <c r="N26" s="16"/>
      <c r="O26" s="16"/>
      <c r="P26" s="18"/>
      <c r="Q26" s="18"/>
      <c r="R26" s="24"/>
      <c r="S26" s="24"/>
      <c r="T26" s="24"/>
      <c r="U26" s="24"/>
      <c r="V26" s="24"/>
      <c r="W26" s="24"/>
      <c r="X26" s="16"/>
      <c r="Y26" s="24"/>
      <c r="Z26" s="24"/>
      <c r="AA26" s="24"/>
      <c r="AB26" s="24"/>
      <c r="AC26" s="18"/>
      <c r="AD26" s="24"/>
      <c r="AE26" s="24"/>
      <c r="AF26" s="24"/>
      <c r="AG26" s="18"/>
      <c r="AH26" s="18"/>
      <c r="AI26" s="21"/>
      <c r="AJ26" s="18"/>
      <c r="AK26" s="24"/>
      <c r="AL26" s="24"/>
      <c r="AM26" s="24"/>
      <c r="AN26" s="18"/>
      <c r="AO26" s="18"/>
      <c r="AP26" s="24"/>
      <c r="AQ26" s="24"/>
      <c r="AR26" s="24"/>
      <c r="AS26" s="18"/>
      <c r="AT26" s="18"/>
      <c r="AU26" s="21"/>
      <c r="AV26" s="18"/>
      <c r="AW26" s="24"/>
      <c r="AX26" s="24"/>
      <c r="AY26" s="24"/>
      <c r="AZ26" s="18"/>
      <c r="BA26" s="18"/>
      <c r="BB26" s="24"/>
      <c r="BC26" s="24"/>
      <c r="BD26" s="24"/>
      <c r="BE26" s="18"/>
      <c r="BF26" s="18"/>
      <c r="BG26" s="21"/>
      <c r="BH26" s="18"/>
      <c r="BI26" s="24"/>
      <c r="BJ26" s="24"/>
      <c r="BK26" s="24"/>
      <c r="BL26" s="18"/>
      <c r="BM26" s="18"/>
      <c r="BN26" s="24"/>
      <c r="BO26" s="24"/>
      <c r="BP26" s="24"/>
      <c r="BQ26" s="18"/>
      <c r="BR26" s="18"/>
      <c r="BS26" s="24"/>
      <c r="BT26" s="18"/>
      <c r="BU26" s="16"/>
      <c r="IL26" s="3"/>
      <c r="IM26" s="3"/>
      <c r="IN26" s="3"/>
      <c r="IO26" s="3"/>
      <c r="IP26" s="3"/>
      <c r="IQ26" s="3"/>
      <c r="IR26" s="3"/>
      <c r="IS26" s="3"/>
    </row>
    <row r="27" spans="1:253" s="2" customFormat="1" ht="12.75" customHeight="1" x14ac:dyDescent="0.2">
      <c r="A27" s="53" t="s">
        <v>31</v>
      </c>
      <c r="B27" s="53"/>
      <c r="C27" s="52" t="s">
        <v>2</v>
      </c>
      <c r="D27" s="52"/>
      <c r="E27" s="52"/>
      <c r="F27" s="52"/>
      <c r="G27" s="34"/>
      <c r="H27" s="52" t="s">
        <v>3</v>
      </c>
      <c r="I27" s="52"/>
      <c r="J27" s="52"/>
      <c r="K27" s="52"/>
      <c r="L27" s="52"/>
      <c r="M27" s="51" t="s">
        <v>4</v>
      </c>
      <c r="N27" s="52" t="s">
        <v>5</v>
      </c>
      <c r="O27" s="52"/>
      <c r="P27" s="52"/>
      <c r="Q27" s="52"/>
      <c r="R27" s="52"/>
      <c r="S27" s="52" t="s">
        <v>6</v>
      </c>
      <c r="T27" s="52"/>
      <c r="U27" s="52"/>
      <c r="V27" s="52"/>
      <c r="W27" s="52"/>
      <c r="X27" s="51" t="s">
        <v>7</v>
      </c>
      <c r="Y27" s="52" t="s">
        <v>9</v>
      </c>
      <c r="Z27" s="52"/>
      <c r="AA27" s="52"/>
      <c r="AB27" s="52"/>
      <c r="AC27" s="52"/>
      <c r="AD27" s="52" t="s">
        <v>10</v>
      </c>
      <c r="AE27" s="52"/>
      <c r="AF27" s="52"/>
      <c r="AG27" s="52"/>
      <c r="AH27" s="52"/>
      <c r="AI27" s="51" t="s">
        <v>11</v>
      </c>
      <c r="AJ27" s="51" t="s">
        <v>8</v>
      </c>
      <c r="AK27" s="52" t="s">
        <v>12</v>
      </c>
      <c r="AL27" s="52"/>
      <c r="AM27" s="52"/>
      <c r="AN27" s="52"/>
      <c r="AO27" s="52"/>
      <c r="AP27" s="52" t="s">
        <v>13</v>
      </c>
      <c r="AQ27" s="52"/>
      <c r="AR27" s="52"/>
      <c r="AS27" s="52"/>
      <c r="AT27" s="52"/>
      <c r="AU27" s="51" t="s">
        <v>14</v>
      </c>
      <c r="AV27" s="51" t="s">
        <v>8</v>
      </c>
      <c r="AW27" s="52" t="s">
        <v>15</v>
      </c>
      <c r="AX27" s="52"/>
      <c r="AY27" s="52"/>
      <c r="AZ27" s="52"/>
      <c r="BA27" s="52"/>
      <c r="BB27" s="52" t="s">
        <v>16</v>
      </c>
      <c r="BC27" s="52"/>
      <c r="BD27" s="52"/>
      <c r="BE27" s="52"/>
      <c r="BF27" s="52"/>
      <c r="BG27" s="51" t="s">
        <v>17</v>
      </c>
      <c r="BH27" s="51" t="s">
        <v>8</v>
      </c>
      <c r="BI27" s="52" t="s">
        <v>18</v>
      </c>
      <c r="BJ27" s="52"/>
      <c r="BK27" s="52"/>
      <c r="BL27" s="52"/>
      <c r="BM27" s="52"/>
      <c r="BN27" s="52" t="s">
        <v>19</v>
      </c>
      <c r="BO27" s="52"/>
      <c r="BP27" s="52"/>
      <c r="BQ27" s="52"/>
      <c r="BR27" s="52"/>
      <c r="BS27" s="36" t="s">
        <v>20</v>
      </c>
      <c r="BT27" s="30"/>
      <c r="BU27" s="31"/>
      <c r="IO27" s="3"/>
      <c r="IP27" s="3"/>
      <c r="IQ27" s="3"/>
      <c r="IR27" s="3"/>
      <c r="IS27" s="3"/>
    </row>
    <row r="28" spans="1:253" s="2" customFormat="1" ht="12.75" customHeight="1" x14ac:dyDescent="0.2">
      <c r="A28" s="53"/>
      <c r="B28" s="53"/>
      <c r="C28" s="52" t="s">
        <v>21</v>
      </c>
      <c r="D28" s="52"/>
      <c r="E28" s="52" t="s">
        <v>22</v>
      </c>
      <c r="F28" s="52"/>
      <c r="G28" s="52" t="s">
        <v>23</v>
      </c>
      <c r="H28" s="52" t="s">
        <v>21</v>
      </c>
      <c r="I28" s="52"/>
      <c r="J28" s="52" t="s">
        <v>22</v>
      </c>
      <c r="K28" s="52"/>
      <c r="L28" s="52" t="s">
        <v>23</v>
      </c>
      <c r="M28" s="51"/>
      <c r="N28" s="52" t="s">
        <v>21</v>
      </c>
      <c r="O28" s="52"/>
      <c r="P28" s="52" t="s">
        <v>22</v>
      </c>
      <c r="Q28" s="52"/>
      <c r="R28" s="52" t="s">
        <v>23</v>
      </c>
      <c r="S28" s="52" t="s">
        <v>21</v>
      </c>
      <c r="T28" s="52"/>
      <c r="U28" s="52" t="s">
        <v>22</v>
      </c>
      <c r="V28" s="52"/>
      <c r="W28" s="52" t="s">
        <v>23</v>
      </c>
      <c r="X28" s="51"/>
      <c r="Y28" s="52" t="s">
        <v>21</v>
      </c>
      <c r="Z28" s="52"/>
      <c r="AA28" s="52" t="s">
        <v>22</v>
      </c>
      <c r="AB28" s="52"/>
      <c r="AC28" s="52" t="s">
        <v>23</v>
      </c>
      <c r="AD28" s="52" t="s">
        <v>21</v>
      </c>
      <c r="AE28" s="52"/>
      <c r="AF28" s="52" t="s">
        <v>22</v>
      </c>
      <c r="AG28" s="52"/>
      <c r="AH28" s="52" t="s">
        <v>23</v>
      </c>
      <c r="AI28" s="51"/>
      <c r="AJ28" s="51"/>
      <c r="AK28" s="52" t="s">
        <v>21</v>
      </c>
      <c r="AL28" s="52"/>
      <c r="AM28" s="52" t="s">
        <v>22</v>
      </c>
      <c r="AN28" s="52"/>
      <c r="AO28" s="52" t="s">
        <v>23</v>
      </c>
      <c r="AP28" s="52" t="s">
        <v>21</v>
      </c>
      <c r="AQ28" s="52"/>
      <c r="AR28" s="52" t="s">
        <v>22</v>
      </c>
      <c r="AS28" s="52"/>
      <c r="AT28" s="52" t="s">
        <v>23</v>
      </c>
      <c r="AU28" s="51"/>
      <c r="AV28" s="51"/>
      <c r="AW28" s="52" t="s">
        <v>21</v>
      </c>
      <c r="AX28" s="52"/>
      <c r="AY28" s="52" t="s">
        <v>22</v>
      </c>
      <c r="AZ28" s="52"/>
      <c r="BA28" s="52" t="s">
        <v>23</v>
      </c>
      <c r="BB28" s="52" t="s">
        <v>21</v>
      </c>
      <c r="BC28" s="52"/>
      <c r="BD28" s="52" t="s">
        <v>22</v>
      </c>
      <c r="BE28" s="52"/>
      <c r="BF28" s="52" t="s">
        <v>23</v>
      </c>
      <c r="BG28" s="51"/>
      <c r="BH28" s="51"/>
      <c r="BI28" s="52" t="s">
        <v>21</v>
      </c>
      <c r="BJ28" s="52"/>
      <c r="BK28" s="52" t="s">
        <v>22</v>
      </c>
      <c r="BL28" s="52"/>
      <c r="BM28" s="52"/>
      <c r="BN28" s="52" t="s">
        <v>21</v>
      </c>
      <c r="BO28" s="52"/>
      <c r="BP28" s="52" t="s">
        <v>22</v>
      </c>
      <c r="BQ28" s="52"/>
      <c r="BR28" s="52"/>
      <c r="BS28" s="52" t="s">
        <v>24</v>
      </c>
      <c r="BT28" s="32"/>
      <c r="BU28" s="33"/>
      <c r="IO28" s="3"/>
      <c r="IP28" s="3"/>
      <c r="IQ28" s="3"/>
      <c r="IR28" s="3"/>
      <c r="IS28" s="3"/>
    </row>
    <row r="29" spans="1:253" s="2" customFormat="1" ht="12.75" customHeight="1" x14ac:dyDescent="0.2">
      <c r="A29" s="53"/>
      <c r="B29" s="53"/>
      <c r="C29" s="34" t="s">
        <v>24</v>
      </c>
      <c r="D29" s="34" t="s">
        <v>25</v>
      </c>
      <c r="E29" s="34" t="s">
        <v>24</v>
      </c>
      <c r="F29" s="34" t="s">
        <v>25</v>
      </c>
      <c r="G29" s="52"/>
      <c r="H29" s="34" t="s">
        <v>24</v>
      </c>
      <c r="I29" s="34" t="s">
        <v>25</v>
      </c>
      <c r="J29" s="34" t="s">
        <v>24</v>
      </c>
      <c r="K29" s="34" t="s">
        <v>25</v>
      </c>
      <c r="L29" s="52"/>
      <c r="M29" s="51"/>
      <c r="N29" s="34" t="s">
        <v>24</v>
      </c>
      <c r="O29" s="34" t="s">
        <v>25</v>
      </c>
      <c r="P29" s="34" t="s">
        <v>24</v>
      </c>
      <c r="Q29" s="34" t="s">
        <v>25</v>
      </c>
      <c r="R29" s="52"/>
      <c r="S29" s="34" t="s">
        <v>24</v>
      </c>
      <c r="T29" s="34" t="s">
        <v>25</v>
      </c>
      <c r="U29" s="34" t="s">
        <v>24</v>
      </c>
      <c r="V29" s="34" t="s">
        <v>25</v>
      </c>
      <c r="W29" s="52"/>
      <c r="X29" s="51"/>
      <c r="Y29" s="34" t="s">
        <v>24</v>
      </c>
      <c r="Z29" s="34" t="s">
        <v>25</v>
      </c>
      <c r="AA29" s="34" t="s">
        <v>24</v>
      </c>
      <c r="AB29" s="34" t="s">
        <v>25</v>
      </c>
      <c r="AC29" s="52"/>
      <c r="AD29" s="34" t="s">
        <v>24</v>
      </c>
      <c r="AE29" s="34" t="s">
        <v>25</v>
      </c>
      <c r="AF29" s="34" t="s">
        <v>24</v>
      </c>
      <c r="AG29" s="34" t="s">
        <v>25</v>
      </c>
      <c r="AH29" s="52"/>
      <c r="AI29" s="51"/>
      <c r="AJ29" s="51"/>
      <c r="AK29" s="34" t="s">
        <v>24</v>
      </c>
      <c r="AL29" s="34" t="s">
        <v>25</v>
      </c>
      <c r="AM29" s="34" t="s">
        <v>24</v>
      </c>
      <c r="AN29" s="34" t="s">
        <v>25</v>
      </c>
      <c r="AO29" s="52"/>
      <c r="AP29" s="34" t="s">
        <v>24</v>
      </c>
      <c r="AQ29" s="34" t="s">
        <v>25</v>
      </c>
      <c r="AR29" s="34" t="s">
        <v>24</v>
      </c>
      <c r="AS29" s="34" t="s">
        <v>25</v>
      </c>
      <c r="AT29" s="52"/>
      <c r="AU29" s="51"/>
      <c r="AV29" s="51"/>
      <c r="AW29" s="34" t="s">
        <v>24</v>
      </c>
      <c r="AX29" s="34" t="s">
        <v>25</v>
      </c>
      <c r="AY29" s="34" t="s">
        <v>24</v>
      </c>
      <c r="AZ29" s="34" t="s">
        <v>25</v>
      </c>
      <c r="BA29" s="52"/>
      <c r="BB29" s="34" t="s">
        <v>24</v>
      </c>
      <c r="BC29" s="34" t="s">
        <v>25</v>
      </c>
      <c r="BD29" s="34" t="s">
        <v>24</v>
      </c>
      <c r="BE29" s="34" t="s">
        <v>25</v>
      </c>
      <c r="BF29" s="52"/>
      <c r="BG29" s="51"/>
      <c r="BH29" s="51"/>
      <c r="BI29" s="34" t="s">
        <v>24</v>
      </c>
      <c r="BJ29" s="34" t="s">
        <v>25</v>
      </c>
      <c r="BK29" s="34" t="s">
        <v>24</v>
      </c>
      <c r="BL29" s="34" t="s">
        <v>25</v>
      </c>
      <c r="BM29" s="4" t="s">
        <v>23</v>
      </c>
      <c r="BN29" s="34" t="s">
        <v>24</v>
      </c>
      <c r="BO29" s="34" t="s">
        <v>25</v>
      </c>
      <c r="BP29" s="34" t="s">
        <v>24</v>
      </c>
      <c r="BQ29" s="34" t="s">
        <v>25</v>
      </c>
      <c r="BR29" s="4" t="s">
        <v>23</v>
      </c>
      <c r="BS29" s="52"/>
      <c r="BT29" s="34" t="s">
        <v>25</v>
      </c>
      <c r="BU29" s="4" t="s">
        <v>23</v>
      </c>
      <c r="IO29" s="3"/>
      <c r="IP29" s="3"/>
      <c r="IQ29" s="3"/>
      <c r="IR29" s="3"/>
      <c r="IS29" s="3"/>
    </row>
    <row r="30" spans="1:253" s="24" customFormat="1" ht="12.75" customHeight="1" x14ac:dyDescent="0.2">
      <c r="A30" s="14" t="s">
        <v>32</v>
      </c>
      <c r="B30" s="9">
        <v>284567215.73000002</v>
      </c>
      <c r="C30" s="8"/>
      <c r="D30" s="8"/>
      <c r="E30" s="8">
        <v>37295379.140000001</v>
      </c>
      <c r="F30" s="8">
        <v>47799856.130000003</v>
      </c>
      <c r="G30" s="8">
        <f>F30-E30</f>
        <v>10504476.990000002</v>
      </c>
      <c r="H30" s="10"/>
      <c r="I30" s="10"/>
      <c r="J30" s="8">
        <f>22463166.86-G30</f>
        <v>11958689.869999997</v>
      </c>
      <c r="K30" s="8">
        <v>24390203.07</v>
      </c>
      <c r="L30" s="8">
        <f>K30-J30</f>
        <v>12431513.200000003</v>
      </c>
      <c r="M30" s="8">
        <f>F30+K30</f>
        <v>72190059.200000003</v>
      </c>
      <c r="N30" s="11"/>
      <c r="O30" s="11"/>
      <c r="P30" s="8">
        <f>23771037.75-L30</f>
        <v>11339524.549999997</v>
      </c>
      <c r="Q30" s="8">
        <v>25416155.050000001</v>
      </c>
      <c r="R30" s="8">
        <f>Q30-P30</f>
        <v>14076630.500000004</v>
      </c>
      <c r="S30" s="10"/>
      <c r="T30" s="10"/>
      <c r="U30" s="8">
        <f>23240889.08-R30</f>
        <v>9164258.5799999945</v>
      </c>
      <c r="V30" s="8">
        <v>25627708.739999998</v>
      </c>
      <c r="W30" s="8">
        <f>V30-U30</f>
        <v>16463450.160000004</v>
      </c>
      <c r="X30" s="8">
        <f>Q30+V30</f>
        <v>51043863.789999999</v>
      </c>
      <c r="Y30" s="8"/>
      <c r="Z30" s="8"/>
      <c r="AA30" s="8">
        <f>17101066.85-W30</f>
        <v>637616.68999999762</v>
      </c>
      <c r="AB30" s="8">
        <v>24850694.210000001</v>
      </c>
      <c r="AC30" s="8">
        <f>AB30-AA30</f>
        <v>24213077.520000003</v>
      </c>
      <c r="AD30" s="10"/>
      <c r="AE30" s="10"/>
      <c r="AF30" s="8">
        <f>20458390.84-AC30+3600000</f>
        <v>-154686.68000000343</v>
      </c>
      <c r="AG30" s="8">
        <v>22921555.52</v>
      </c>
      <c r="AH30" s="8">
        <f>AG30-AF30</f>
        <v>23076242.200000003</v>
      </c>
      <c r="AI30" s="8">
        <f>AB30+AG30</f>
        <v>47772249.730000004</v>
      </c>
      <c r="AJ30" s="8" t="e">
        <f>#REF!+AI30</f>
        <v>#REF!</v>
      </c>
      <c r="AK30" s="10"/>
      <c r="AL30" s="10"/>
      <c r="AM30" s="8">
        <f>23019211.23-AH30</f>
        <v>-57030.970000002533</v>
      </c>
      <c r="AN30" s="8"/>
      <c r="AO30" s="8">
        <f>AN30-AM30</f>
        <v>57030.970000002533</v>
      </c>
      <c r="AP30" s="10"/>
      <c r="AQ30" s="10"/>
      <c r="AR30" s="8">
        <v>22736635.98</v>
      </c>
      <c r="AS30" s="8">
        <v>26631533.129999999</v>
      </c>
      <c r="AT30" s="8">
        <f>AS30-AR30</f>
        <v>3894897.1499999985</v>
      </c>
      <c r="AU30" s="8">
        <f>AM30+AR30</f>
        <v>22679605.009999998</v>
      </c>
      <c r="AV30" s="10" t="e">
        <f>AJ30+AU30</f>
        <v>#REF!</v>
      </c>
      <c r="AW30" s="10"/>
      <c r="AX30" s="10"/>
      <c r="AY30" s="8">
        <v>22528901.91</v>
      </c>
      <c r="AZ30" s="8">
        <v>28272995.129999999</v>
      </c>
      <c r="BA30" s="8">
        <f>AZ30-AY30</f>
        <v>5744093.2199999988</v>
      </c>
      <c r="BB30" s="8"/>
      <c r="BC30" s="8"/>
      <c r="BD30" s="8">
        <v>20381273.16</v>
      </c>
      <c r="BE30" s="8">
        <v>20852798.84</v>
      </c>
      <c r="BF30" s="8">
        <f>BE30-BD30</f>
        <v>471525.6799999997</v>
      </c>
      <c r="BG30" s="8">
        <f>AY30+BD30</f>
        <v>42910175.07</v>
      </c>
      <c r="BH30" s="8" t="e">
        <f>AV30+BG30</f>
        <v>#REF!</v>
      </c>
      <c r="BI30" s="10"/>
      <c r="BJ30" s="10"/>
      <c r="BK30" s="8">
        <v>20773975.899999999</v>
      </c>
      <c r="BL30" s="8"/>
      <c r="BM30" s="10"/>
      <c r="BN30" s="8"/>
      <c r="BO30" s="10"/>
      <c r="BP30" s="8">
        <v>30797287.030000001</v>
      </c>
      <c r="BQ30" s="8"/>
      <c r="BR30" s="10"/>
      <c r="BS30" s="8">
        <f>SUM(M30+X30+AI30+AU30+BG30+BK30+BP30)</f>
        <v>288167215.73000002</v>
      </c>
      <c r="BT30" s="9" t="e">
        <f>#REF!+K30+Q30+V30+AB30+AG30+AN30+AS30+AZ30+BE30+BL30+BQ30</f>
        <v>#REF!</v>
      </c>
      <c r="BU30" s="11" t="e">
        <f>BS30-BT30</f>
        <v>#REF!</v>
      </c>
      <c r="IO30" s="3"/>
      <c r="IP30" s="3"/>
      <c r="IQ30" s="3"/>
      <c r="IR30" s="3"/>
      <c r="IS30" s="3"/>
    </row>
    <row r="31" spans="1:253" s="24" customFormat="1" ht="12.75" customHeight="1" x14ac:dyDescent="0.2">
      <c r="A31" s="14" t="s">
        <v>33</v>
      </c>
      <c r="B31" s="9">
        <f>244461517.94+27360000+8060000+2376000</f>
        <v>282257517.94</v>
      </c>
      <c r="C31" s="8">
        <f>C24-C41</f>
        <v>4340000</v>
      </c>
      <c r="D31" s="8">
        <f>D24</f>
        <v>3924620.62</v>
      </c>
      <c r="E31" s="8">
        <f>47795038.06+13665095.8</f>
        <v>61460133.859999999</v>
      </c>
      <c r="F31" s="8">
        <v>19164490.379999999</v>
      </c>
      <c r="G31" s="8">
        <f>C31-D31+E31-F31</f>
        <v>42711022.859999999</v>
      </c>
      <c r="H31" s="8">
        <f>H51-H41</f>
        <v>4235379.38</v>
      </c>
      <c r="I31" s="8">
        <f>I24-I41</f>
        <v>3951208.91</v>
      </c>
      <c r="J31" s="8">
        <f>22264978.28+117700+G31</f>
        <v>65093701.140000001</v>
      </c>
      <c r="K31" s="8">
        <v>18516886.48</v>
      </c>
      <c r="L31" s="8">
        <f>SUM(H31-I31,J31-K31)</f>
        <v>46860985.129999995</v>
      </c>
      <c r="M31" s="8">
        <f>D31+F31+I31+K31</f>
        <v>45557206.390000001</v>
      </c>
      <c r="N31" s="8">
        <f>N51-N41</f>
        <v>3906170.47</v>
      </c>
      <c r="O31" s="8">
        <f>O51-O41</f>
        <v>3723273.47</v>
      </c>
      <c r="P31" s="8">
        <f>21570389.2+L31+3867154.3</f>
        <v>72298528.629999995</v>
      </c>
      <c r="Q31" s="8">
        <v>22297417.07</v>
      </c>
      <c r="R31" s="8">
        <f>SUM(N31-O31,P31-Q31)</f>
        <v>50184008.559999995</v>
      </c>
      <c r="S31" s="8">
        <f>S51-S41</f>
        <v>3824897</v>
      </c>
      <c r="T31" s="8">
        <f>T24-T41</f>
        <v>3717752.24</v>
      </c>
      <c r="U31" s="8">
        <f>18829914.96+R31+4224540</f>
        <v>73238463.519999996</v>
      </c>
      <c r="V31" s="8">
        <v>19587240.309999999</v>
      </c>
      <c r="W31" s="8">
        <f>SUM(S31-T31,U31-V31)</f>
        <v>53758367.969999991</v>
      </c>
      <c r="X31" s="8">
        <f>O31+Q31+T31+V31</f>
        <v>49325683.090000004</v>
      </c>
      <c r="Y31" s="8">
        <f>Y51-Y41</f>
        <v>3829144.7600000002</v>
      </c>
      <c r="Z31" s="8">
        <f>Z51-Z41</f>
        <v>3737968.0500000003</v>
      </c>
      <c r="AA31" s="8">
        <f>16195999.83+W31+6808237.4</f>
        <v>76762605.200000003</v>
      </c>
      <c r="AB31" s="8">
        <v>21699031.579999998</v>
      </c>
      <c r="AC31" s="8">
        <f>Y31-Z31+AA31-AB31</f>
        <v>55154750.329999998</v>
      </c>
      <c r="AD31" s="8">
        <f>AD51-AD41</f>
        <v>3413176.71</v>
      </c>
      <c r="AE31" s="8">
        <f>AE51-AE41</f>
        <v>2476879.0699999998</v>
      </c>
      <c r="AF31" s="8">
        <f>17589577.22+AC31+2513900+3600000</f>
        <v>78858227.549999997</v>
      </c>
      <c r="AG31" s="8">
        <v>18751388.219999999</v>
      </c>
      <c r="AH31" s="8">
        <f>AD31-AE31+AF31-AG31</f>
        <v>61043136.969999999</v>
      </c>
      <c r="AI31" s="8">
        <f>Z31+AB31+AE31+AG31</f>
        <v>46665266.920000002</v>
      </c>
      <c r="AJ31" s="8" t="e">
        <f>#REF!+AI31</f>
        <v>#REF!</v>
      </c>
      <c r="AK31" s="8">
        <f>AK51-AK41</f>
        <v>4258297.6399999997</v>
      </c>
      <c r="AL31" s="8">
        <f>AL51-AL41</f>
        <v>0</v>
      </c>
      <c r="AM31" s="8">
        <f>17224441.39+AH31</f>
        <v>78267578.359999999</v>
      </c>
      <c r="AN31" s="8"/>
      <c r="AO31" s="8">
        <f>AK31-AL31+AM31-AN31</f>
        <v>82525876</v>
      </c>
      <c r="AP31" s="8">
        <f>AP51-AP41</f>
        <v>2422000</v>
      </c>
      <c r="AQ31" s="8">
        <f>AQ51-AQ41</f>
        <v>0</v>
      </c>
      <c r="AR31" s="8">
        <v>19050120.699999999</v>
      </c>
      <c r="AS31" s="8">
        <v>22865951.149999999</v>
      </c>
      <c r="AT31" s="8">
        <f>AP31-AQ31+AR31-AS31</f>
        <v>-1393830.4499999993</v>
      </c>
      <c r="AU31" s="8">
        <f>AK31+AM31+AP31+AR31</f>
        <v>103997996.7</v>
      </c>
      <c r="AV31" s="9" t="e">
        <f>AJ31+AU31</f>
        <v>#REF!</v>
      </c>
      <c r="AW31" s="8">
        <f>AW51-AW41</f>
        <v>2422000</v>
      </c>
      <c r="AX31" s="8">
        <f>AX51-AX41</f>
        <v>0</v>
      </c>
      <c r="AY31" s="8">
        <v>16551115.189999999</v>
      </c>
      <c r="AZ31" s="8">
        <v>18222600.960000001</v>
      </c>
      <c r="BA31" s="8">
        <f>AW31-AX31+AY31-AZ31</f>
        <v>750514.22999999672</v>
      </c>
      <c r="BB31" s="8">
        <f>BB51-BB41</f>
        <v>2422000</v>
      </c>
      <c r="BC31" s="8">
        <f>BC51-BC41</f>
        <v>0</v>
      </c>
      <c r="BD31" s="8">
        <v>17361795.050000001</v>
      </c>
      <c r="BE31" s="8">
        <v>19363949.890000001</v>
      </c>
      <c r="BF31" s="8">
        <f>BB31-BC31+BD31-BE31</f>
        <v>419845.16000000015</v>
      </c>
      <c r="BG31" s="8">
        <f>AW31+AY31+BB31+BD31</f>
        <v>38756910.239999995</v>
      </c>
      <c r="BH31" s="9" t="e">
        <f>AV31+BG31</f>
        <v>#REF!</v>
      </c>
      <c r="BI31" s="8">
        <f>BI51-BI41</f>
        <v>2422000</v>
      </c>
      <c r="BJ31" s="9"/>
      <c r="BK31" s="8">
        <v>17783143.25</v>
      </c>
      <c r="BL31" s="9"/>
      <c r="BM31" s="9">
        <f>BL24</f>
        <v>0</v>
      </c>
      <c r="BN31" s="8">
        <f>BN51-BN41</f>
        <v>2318000</v>
      </c>
      <c r="BO31" s="9"/>
      <c r="BP31" s="8">
        <v>12245004.810000001</v>
      </c>
      <c r="BQ31" s="9"/>
      <c r="BR31" s="9">
        <f>BQ24</f>
        <v>0</v>
      </c>
      <c r="BS31" s="8">
        <f>SUM(M31+X31+AI31+AU31+BG31+BI31+BK31+BN31+BP31)</f>
        <v>319071211.40000004</v>
      </c>
      <c r="BT31" s="8">
        <f>BR24-BR25</f>
        <v>0</v>
      </c>
      <c r="BU31" s="8">
        <f>BS24-BS25</f>
        <v>779565161.61000013</v>
      </c>
      <c r="IO31" s="3"/>
      <c r="IP31" s="3"/>
      <c r="IQ31" s="3"/>
      <c r="IR31" s="3"/>
      <c r="IS31" s="3"/>
    </row>
    <row r="32" spans="1:253" s="24" customFormat="1" ht="12.75" customHeight="1" x14ac:dyDescent="0.2">
      <c r="A32" s="14" t="s">
        <v>58</v>
      </c>
      <c r="B32" s="9">
        <f>B30-B31</f>
        <v>2309697.7900000215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9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9"/>
      <c r="BI32" s="8"/>
      <c r="BJ32" s="9"/>
      <c r="BK32" s="8"/>
      <c r="BL32" s="9"/>
      <c r="BM32" s="9"/>
      <c r="BN32" s="8"/>
      <c r="BO32" s="9"/>
      <c r="BP32" s="8"/>
      <c r="BQ32" s="9"/>
      <c r="BR32" s="9"/>
      <c r="BS32" s="8">
        <f>B32</f>
        <v>2309697.7900000215</v>
      </c>
      <c r="BT32" s="8"/>
      <c r="BU32" s="8"/>
      <c r="IO32" s="3"/>
      <c r="IP32" s="3"/>
      <c r="IQ32" s="3"/>
      <c r="IR32" s="3"/>
      <c r="IS32" s="3"/>
    </row>
    <row r="33" spans="1:253" s="24" customFormat="1" ht="15.75" customHeight="1" x14ac:dyDescent="0.2">
      <c r="A33" s="14" t="s">
        <v>53</v>
      </c>
      <c r="B33" s="9"/>
      <c r="C33" s="8"/>
      <c r="D33" s="8"/>
      <c r="E33" s="8">
        <f>E30-C31-E31</f>
        <v>-28504754.719999999</v>
      </c>
      <c r="F33" s="8">
        <f>F30-D31-F31</f>
        <v>24710745.130000006</v>
      </c>
      <c r="G33" s="8"/>
      <c r="H33" s="8"/>
      <c r="I33" s="8"/>
      <c r="J33" s="8">
        <f>J30-H31-J31</f>
        <v>-57370390.650000006</v>
      </c>
      <c r="K33" s="8">
        <f>K30-I31-K31</f>
        <v>1922107.6799999997</v>
      </c>
      <c r="L33" s="8"/>
      <c r="M33" s="8">
        <f>M30-M31</f>
        <v>26632852.810000002</v>
      </c>
      <c r="N33" s="8"/>
      <c r="O33" s="8"/>
      <c r="P33" s="8">
        <f>P30-N31-P31</f>
        <v>-64865174.549999997</v>
      </c>
      <c r="Q33" s="8">
        <f>Q30-O31-Q31</f>
        <v>-604535.48999999836</v>
      </c>
      <c r="R33" s="9"/>
      <c r="S33" s="8"/>
      <c r="T33" s="8"/>
      <c r="U33" s="8">
        <f>U30-S31-U31</f>
        <v>-67899101.939999998</v>
      </c>
      <c r="V33" s="8">
        <f>V30-T31-V31</f>
        <v>2322716.1900000013</v>
      </c>
      <c r="W33" s="9"/>
      <c r="X33" s="8">
        <f>X30-X31</f>
        <v>1718180.6999999955</v>
      </c>
      <c r="Y33" s="8"/>
      <c r="Z33" s="8"/>
      <c r="AA33" s="8">
        <f>AA30-Y31-AA31</f>
        <v>-79954133.270000011</v>
      </c>
      <c r="AB33" s="8">
        <f>AB30-Z31-AB31</f>
        <v>-586305.41999999806</v>
      </c>
      <c r="AC33" s="9"/>
      <c r="AD33" s="8"/>
      <c r="AE33" s="8"/>
      <c r="AF33" s="8">
        <f>AF30-AD31-AF31</f>
        <v>-82426090.939999998</v>
      </c>
      <c r="AG33" s="8">
        <f>AG30-AE31-AG31</f>
        <v>1693288.2300000004</v>
      </c>
      <c r="AH33" s="8"/>
      <c r="AI33" s="8">
        <f>AI30-AI31</f>
        <v>1106982.8100000024</v>
      </c>
      <c r="AJ33" s="8"/>
      <c r="AK33" s="8"/>
      <c r="AL33" s="8"/>
      <c r="AM33" s="8">
        <f>AM30-AK31-AM31</f>
        <v>-82582906.969999999</v>
      </c>
      <c r="AN33" s="8"/>
      <c r="AO33" s="8"/>
      <c r="AP33" s="8"/>
      <c r="AQ33" s="8"/>
      <c r="AR33" s="8">
        <f>AR30-AP31-AR31</f>
        <v>1264515.2800000012</v>
      </c>
      <c r="AS33" s="8">
        <f>AS30-AQ31-AS31</f>
        <v>3765581.9800000004</v>
      </c>
      <c r="AT33" s="8"/>
      <c r="AU33" s="8">
        <f>AU30-AU31</f>
        <v>-81318391.689999998</v>
      </c>
      <c r="AV33" s="9"/>
      <c r="AW33" s="8"/>
      <c r="AX33" s="8"/>
      <c r="AY33" s="8">
        <f>AY30-AW31-AY31</f>
        <v>3555786.7200000007</v>
      </c>
      <c r="AZ33" s="8">
        <f>AZ30-AX31-AZ31</f>
        <v>10050394.169999998</v>
      </c>
      <c r="BA33" s="8"/>
      <c r="BB33" s="8"/>
      <c r="BC33" s="8"/>
      <c r="BD33" s="8">
        <f>BD30-BB31-BD31</f>
        <v>597478.1099999994</v>
      </c>
      <c r="BE33" s="8">
        <f>BE30-BC31-BE31</f>
        <v>1488848.9499999993</v>
      </c>
      <c r="BF33" s="8"/>
      <c r="BG33" s="8">
        <f>BG30-BG31</f>
        <v>4153264.8300000057</v>
      </c>
      <c r="BH33" s="9"/>
      <c r="BI33" s="8"/>
      <c r="BJ33" s="9"/>
      <c r="BK33" s="8">
        <f>BK30-BI31-BK31</f>
        <v>568832.64999999851</v>
      </c>
      <c r="BL33" s="9"/>
      <c r="BM33" s="9"/>
      <c r="BN33" s="8"/>
      <c r="BO33" s="9"/>
      <c r="BP33" s="8">
        <f>BP30-BN31-BP31</f>
        <v>16234282.220000001</v>
      </c>
      <c r="BQ33" s="9"/>
      <c r="BR33" s="9"/>
      <c r="BS33" s="8">
        <f>BS30-BS31</f>
        <v>-30903995.670000017</v>
      </c>
      <c r="BT33" s="8"/>
      <c r="BU33" s="8"/>
      <c r="IO33" s="3"/>
      <c r="IP33" s="3"/>
      <c r="IQ33" s="3"/>
      <c r="IR33" s="3"/>
      <c r="IS33" s="3"/>
    </row>
    <row r="34" spans="1:253" s="24" customFormat="1" ht="15.75" customHeight="1" x14ac:dyDescent="0.2">
      <c r="A34" s="14" t="s">
        <v>54</v>
      </c>
      <c r="B34" s="9">
        <f>B30+B35-B31-B32</f>
        <v>46082980.430000007</v>
      </c>
      <c r="C34" s="8"/>
      <c r="D34" s="8"/>
      <c r="E34" s="8">
        <f>E33+B34</f>
        <v>17578225.710000008</v>
      </c>
      <c r="F34" s="8">
        <f>F33+B34</f>
        <v>70793725.560000017</v>
      </c>
      <c r="G34" s="8"/>
      <c r="H34" s="8"/>
      <c r="I34" s="8"/>
      <c r="J34" s="8">
        <f>F34+J33</f>
        <v>13423334.910000011</v>
      </c>
      <c r="K34" s="8">
        <f>K33+F34</f>
        <v>72715833.24000001</v>
      </c>
      <c r="L34" s="8"/>
      <c r="M34" s="8">
        <f>M33+B35</f>
        <v>72715833.24000001</v>
      </c>
      <c r="N34" s="11"/>
      <c r="O34" s="11"/>
      <c r="P34" s="8">
        <f>P33+M34</f>
        <v>7850658.6900000125</v>
      </c>
      <c r="Q34" s="8">
        <f>M34+Q33</f>
        <v>72111297.750000015</v>
      </c>
      <c r="R34" s="8"/>
      <c r="S34" s="8"/>
      <c r="T34" s="8"/>
      <c r="U34" s="8">
        <f>U33+P34</f>
        <v>-60048443.249999985</v>
      </c>
      <c r="V34" s="8">
        <f>V33+Q34</f>
        <v>74434013.940000013</v>
      </c>
      <c r="W34" s="8"/>
      <c r="X34" s="8">
        <f>X33+M34</f>
        <v>74434013.939999998</v>
      </c>
      <c r="Y34" s="8"/>
      <c r="Z34" s="8"/>
      <c r="AA34" s="8">
        <f>AA33+X34</f>
        <v>-5520119.3300000131</v>
      </c>
      <c r="AB34" s="8">
        <f>AB33+V34</f>
        <v>73847708.520000011</v>
      </c>
      <c r="AC34" s="8"/>
      <c r="AD34" s="8" t="s">
        <v>27</v>
      </c>
      <c r="AE34" s="8"/>
      <c r="AF34" s="8">
        <f>AF33+AB34</f>
        <v>-8578382.4199999869</v>
      </c>
      <c r="AG34" s="8">
        <f>AG33+AB34</f>
        <v>75540996.750000015</v>
      </c>
      <c r="AH34" s="8"/>
      <c r="AI34" s="8">
        <f>AI33+X34</f>
        <v>75540996.75</v>
      </c>
      <c r="AJ34" s="8" t="e">
        <f>AJ30+AJ31+#REF!-#REF!-#REF!-#REF!-#REF!</f>
        <v>#REF!</v>
      </c>
      <c r="AK34" s="8" t="s">
        <v>27</v>
      </c>
      <c r="AL34" s="8"/>
      <c r="AM34" s="8">
        <f>AM33+AI34</f>
        <v>-7041910.2199999988</v>
      </c>
      <c r="AN34" s="8"/>
      <c r="AO34" s="8"/>
      <c r="AP34" s="8"/>
      <c r="AQ34" s="8"/>
      <c r="AR34" s="8">
        <f>AR33+AM34</f>
        <v>-5777394.9399999976</v>
      </c>
      <c r="AS34" s="8">
        <f>AS33+AN34</f>
        <v>3765581.9800000004</v>
      </c>
      <c r="AT34" s="8"/>
      <c r="AU34" s="8">
        <f>AU33+AI34</f>
        <v>-5777394.9399999976</v>
      </c>
      <c r="AV34" s="8" t="e">
        <f>AV30+AV31+#REF!-#REF!-#REF!-#REF!-#REF!</f>
        <v>#REF!</v>
      </c>
      <c r="AW34" s="8"/>
      <c r="AX34" s="8"/>
      <c r="AY34" s="8">
        <f>AY33+AR34</f>
        <v>-2221608.2199999969</v>
      </c>
      <c r="AZ34" s="8">
        <f>AZ33+AS34</f>
        <v>13815976.149999999</v>
      </c>
      <c r="BA34" s="8"/>
      <c r="BB34" s="8"/>
      <c r="BC34" s="8"/>
      <c r="BD34" s="8">
        <f>BD33+AY34</f>
        <v>-1624130.1099999975</v>
      </c>
      <c r="BE34" s="8">
        <f>BE33+AZ34</f>
        <v>15304825.099999998</v>
      </c>
      <c r="BF34" s="8"/>
      <c r="BG34" s="8">
        <f>BG33+AU34</f>
        <v>-1624130.109999992</v>
      </c>
      <c r="BH34" s="8" t="e">
        <f>BH30+BH31+#REF!-#REF!-#REF!-#REF!-#REF!</f>
        <v>#REF!</v>
      </c>
      <c r="BI34" s="8"/>
      <c r="BJ34" s="8"/>
      <c r="BK34" s="8">
        <f>BK33+BD34</f>
        <v>-1055297.459999999</v>
      </c>
      <c r="BL34" s="8">
        <f>BL30-SUM(BL31:BL33)</f>
        <v>0</v>
      </c>
      <c r="BM34" s="8">
        <f>BM30-SUM(BM31:BM33)</f>
        <v>0</v>
      </c>
      <c r="BN34" s="8"/>
      <c r="BO34" s="8"/>
      <c r="BP34" s="8">
        <f>BP33+BK34</f>
        <v>15178984.760000002</v>
      </c>
      <c r="BQ34" s="8">
        <f>BQ30-SUM(BQ31:BQ33)</f>
        <v>0</v>
      </c>
      <c r="BR34" s="8">
        <f>BR30-SUM(BR31:BR33)</f>
        <v>0</v>
      </c>
      <c r="BS34" s="8">
        <f>BG34+BP33+BK33</f>
        <v>15178984.760000007</v>
      </c>
      <c r="BT34" s="8" t="e">
        <f>BT30-SUM(BU31:BU33)</f>
        <v>#REF!</v>
      </c>
      <c r="BU34" s="8" t="e">
        <f>BU30-SUM(#REF!)</f>
        <v>#REF!</v>
      </c>
      <c r="IO34" s="3"/>
      <c r="IP34" s="3"/>
      <c r="IQ34" s="3"/>
      <c r="IR34" s="3"/>
      <c r="IS34" s="3"/>
    </row>
    <row r="35" spans="1:253" s="24" customFormat="1" ht="12.75" customHeight="1" x14ac:dyDescent="0.2">
      <c r="A35" s="48" t="s">
        <v>35</v>
      </c>
      <c r="B35" s="45">
        <v>46082980.43</v>
      </c>
      <c r="C35" s="43"/>
      <c r="D35" s="43"/>
      <c r="E35" s="43"/>
      <c r="F35" s="43">
        <v>13665095.800000001</v>
      </c>
      <c r="G35" s="43"/>
      <c r="H35" s="43"/>
      <c r="I35" s="43"/>
      <c r="J35" s="43">
        <f>G35</f>
        <v>0</v>
      </c>
      <c r="K35" s="43">
        <v>117700</v>
      </c>
      <c r="L35" s="43"/>
      <c r="M35" s="43">
        <f>F35+K35</f>
        <v>13782795.800000001</v>
      </c>
      <c r="N35" s="49"/>
      <c r="O35" s="49"/>
      <c r="P35" s="43">
        <f>L35</f>
        <v>0</v>
      </c>
      <c r="Q35" s="43">
        <v>3867154.3</v>
      </c>
      <c r="R35" s="43"/>
      <c r="S35" s="43"/>
      <c r="T35" s="43"/>
      <c r="U35" s="43"/>
      <c r="V35" s="43">
        <v>4224540</v>
      </c>
      <c r="W35" s="43"/>
      <c r="X35" s="43">
        <f>Q35+V35</f>
        <v>8091694.2999999998</v>
      </c>
      <c r="Y35" s="43"/>
      <c r="Z35" s="43"/>
      <c r="AA35" s="43"/>
      <c r="AB35" s="43">
        <v>6808237.4000000004</v>
      </c>
      <c r="AC35" s="43"/>
      <c r="AD35" s="43"/>
      <c r="AE35" s="43"/>
      <c r="AF35" s="43"/>
      <c r="AG35" s="43">
        <v>2513900</v>
      </c>
      <c r="AH35" s="43"/>
      <c r="AI35" s="43">
        <f>AB35+AG35</f>
        <v>9322137.4000000004</v>
      </c>
      <c r="AJ35" s="43"/>
      <c r="AK35" s="43"/>
      <c r="AL35" s="43"/>
      <c r="AM35" s="43"/>
      <c r="AN35" s="43">
        <v>3491650</v>
      </c>
      <c r="AO35" s="43">
        <f>AH35-AN35</f>
        <v>-3491650</v>
      </c>
      <c r="AP35" s="43"/>
      <c r="AQ35" s="43"/>
      <c r="AR35" s="43"/>
      <c r="AS35" s="43">
        <v>529500</v>
      </c>
      <c r="AT35" s="43">
        <f>AR35-AS35</f>
        <v>-529500</v>
      </c>
      <c r="AU35" s="43"/>
      <c r="AV35" s="43"/>
      <c r="AW35" s="43"/>
      <c r="AX35" s="43"/>
      <c r="AY35" s="43"/>
      <c r="AZ35" s="43"/>
      <c r="BA35" s="43">
        <f>AY35-AZ35</f>
        <v>0</v>
      </c>
      <c r="BB35" s="43"/>
      <c r="BC35" s="43"/>
      <c r="BD35" s="43">
        <f>BA35</f>
        <v>0</v>
      </c>
      <c r="BE35" s="43"/>
      <c r="BF35" s="43">
        <f>BA35</f>
        <v>0</v>
      </c>
      <c r="BG35" s="43">
        <v>0</v>
      </c>
      <c r="BH35" s="43"/>
      <c r="BI35" s="43"/>
      <c r="BJ35" s="43"/>
      <c r="BK35" s="43">
        <f>BF35</f>
        <v>0</v>
      </c>
      <c r="BL35" s="43"/>
      <c r="BM35" s="43"/>
      <c r="BN35" s="43"/>
      <c r="BO35" s="43"/>
      <c r="BP35" s="43"/>
      <c r="BQ35" s="43"/>
      <c r="BR35" s="43"/>
      <c r="BS35" s="43">
        <f>B35</f>
        <v>46082980.43</v>
      </c>
      <c r="BT35" s="8"/>
      <c r="BU35" s="8"/>
      <c r="IO35" s="3"/>
      <c r="IP35" s="3"/>
      <c r="IQ35" s="3"/>
      <c r="IR35" s="3"/>
      <c r="IS35" s="3"/>
    </row>
    <row r="36" spans="1:253" ht="12.75" customHeight="1" x14ac:dyDescent="0.2">
      <c r="E36" s="2">
        <f>E31</f>
        <v>61460133.859999999</v>
      </c>
      <c r="G36" s="24"/>
      <c r="H36" s="20"/>
      <c r="I36" s="20"/>
      <c r="K36" s="24"/>
      <c r="N36" s="19"/>
      <c r="O36" s="19"/>
      <c r="P36" s="24"/>
      <c r="Q36" s="16"/>
      <c r="R36" s="20"/>
      <c r="S36" s="20"/>
      <c r="T36" s="20"/>
      <c r="V36" s="24"/>
      <c r="W36" s="24"/>
      <c r="X36" s="24"/>
      <c r="AA36" s="16">
        <v>20299865.149999999</v>
      </c>
      <c r="AC36" s="20"/>
      <c r="AD36" s="20"/>
      <c r="AE36" s="20"/>
      <c r="AG36" s="24"/>
      <c r="AI36" s="20"/>
      <c r="AJ36" s="20"/>
      <c r="AK36" s="20"/>
      <c r="AM36" s="16"/>
      <c r="AN36" s="24"/>
      <c r="AQ36" s="20"/>
      <c r="AS36" s="24"/>
      <c r="AU36" s="20"/>
      <c r="AV36" s="20"/>
      <c r="AW36" s="20"/>
      <c r="AY36" s="24"/>
      <c r="AZ36" s="24"/>
      <c r="BA36" s="24"/>
      <c r="BB36" s="24"/>
      <c r="BF36" s="20"/>
      <c r="BG36" s="20"/>
      <c r="BH36" s="20"/>
      <c r="BI36" s="20"/>
      <c r="BK36" s="16"/>
      <c r="BL36" s="24"/>
      <c r="BM36" s="24"/>
      <c r="BN36" s="24"/>
      <c r="BS36" s="16"/>
      <c r="BT36" s="16"/>
      <c r="BU36" s="19"/>
      <c r="BV36" s="2"/>
      <c r="IO36" s="3"/>
      <c r="IP36" s="3"/>
      <c r="IQ36" s="3"/>
      <c r="IR36" s="3"/>
    </row>
    <row r="37" spans="1:253" s="2" customFormat="1" ht="12.75" customHeight="1" x14ac:dyDescent="0.2">
      <c r="A37" s="53" t="s">
        <v>34</v>
      </c>
      <c r="B37" s="53"/>
      <c r="C37" s="52" t="s">
        <v>2</v>
      </c>
      <c r="D37" s="52"/>
      <c r="E37" s="52"/>
      <c r="F37" s="52"/>
      <c r="G37" s="34"/>
      <c r="H37" s="52" t="s">
        <v>3</v>
      </c>
      <c r="I37" s="52"/>
      <c r="J37" s="52"/>
      <c r="K37" s="52"/>
      <c r="L37" s="52"/>
      <c r="M37" s="51" t="s">
        <v>4</v>
      </c>
      <c r="N37" s="52" t="s">
        <v>5</v>
      </c>
      <c r="O37" s="52"/>
      <c r="P37" s="52"/>
      <c r="Q37" s="52"/>
      <c r="R37" s="52"/>
      <c r="S37" s="52" t="s">
        <v>6</v>
      </c>
      <c r="T37" s="52"/>
      <c r="U37" s="52"/>
      <c r="V37" s="52"/>
      <c r="W37" s="52"/>
      <c r="X37" s="51" t="s">
        <v>7</v>
      </c>
      <c r="Y37" s="52" t="s">
        <v>9</v>
      </c>
      <c r="Z37" s="52"/>
      <c r="AA37" s="52"/>
      <c r="AB37" s="52"/>
      <c r="AC37" s="52"/>
      <c r="AD37" s="52" t="s">
        <v>10</v>
      </c>
      <c r="AE37" s="52"/>
      <c r="AF37" s="52"/>
      <c r="AG37" s="52"/>
      <c r="AH37" s="52"/>
      <c r="AI37" s="51" t="s">
        <v>11</v>
      </c>
      <c r="AJ37" s="51" t="s">
        <v>8</v>
      </c>
      <c r="AK37" s="52" t="s">
        <v>12</v>
      </c>
      <c r="AL37" s="52"/>
      <c r="AM37" s="52"/>
      <c r="AN37" s="52"/>
      <c r="AO37" s="52"/>
      <c r="AP37" s="52" t="s">
        <v>13</v>
      </c>
      <c r="AQ37" s="52"/>
      <c r="AR37" s="52"/>
      <c r="AS37" s="52"/>
      <c r="AT37" s="52"/>
      <c r="AU37" s="51" t="s">
        <v>14</v>
      </c>
      <c r="AV37" s="51" t="s">
        <v>8</v>
      </c>
      <c r="AW37" s="52" t="s">
        <v>15</v>
      </c>
      <c r="AX37" s="52"/>
      <c r="AY37" s="52"/>
      <c r="AZ37" s="52"/>
      <c r="BA37" s="52"/>
      <c r="BB37" s="52" t="s">
        <v>16</v>
      </c>
      <c r="BC37" s="52"/>
      <c r="BD37" s="52"/>
      <c r="BE37" s="52"/>
      <c r="BF37" s="52"/>
      <c r="BG37" s="51" t="s">
        <v>17</v>
      </c>
      <c r="BH37" s="51" t="s">
        <v>8</v>
      </c>
      <c r="BI37" s="52" t="s">
        <v>18</v>
      </c>
      <c r="BJ37" s="52"/>
      <c r="BK37" s="52"/>
      <c r="BL37" s="52"/>
      <c r="BM37" s="52"/>
      <c r="BN37" s="52" t="s">
        <v>19</v>
      </c>
      <c r="BO37" s="52"/>
      <c r="BP37" s="52"/>
      <c r="BQ37" s="52"/>
      <c r="BR37" s="52"/>
      <c r="BS37" s="36" t="s">
        <v>20</v>
      </c>
      <c r="BT37" s="30"/>
      <c r="BU37" s="31"/>
      <c r="IO37" s="3"/>
      <c r="IP37" s="3"/>
      <c r="IQ37" s="3"/>
      <c r="IR37" s="3"/>
      <c r="IS37" s="3"/>
    </row>
    <row r="38" spans="1:253" s="2" customFormat="1" ht="12.75" customHeight="1" x14ac:dyDescent="0.2">
      <c r="A38" s="53"/>
      <c r="B38" s="53"/>
      <c r="C38" s="52" t="s">
        <v>21</v>
      </c>
      <c r="D38" s="52"/>
      <c r="E38" s="52" t="s">
        <v>22</v>
      </c>
      <c r="F38" s="52"/>
      <c r="G38" s="52" t="s">
        <v>23</v>
      </c>
      <c r="H38" s="52" t="s">
        <v>21</v>
      </c>
      <c r="I38" s="52"/>
      <c r="J38" s="52" t="s">
        <v>22</v>
      </c>
      <c r="K38" s="52"/>
      <c r="L38" s="52" t="s">
        <v>23</v>
      </c>
      <c r="M38" s="51"/>
      <c r="N38" s="52" t="s">
        <v>21</v>
      </c>
      <c r="O38" s="52"/>
      <c r="P38" s="52" t="s">
        <v>22</v>
      </c>
      <c r="Q38" s="52"/>
      <c r="R38" s="52" t="s">
        <v>23</v>
      </c>
      <c r="S38" s="52" t="s">
        <v>21</v>
      </c>
      <c r="T38" s="52"/>
      <c r="U38" s="52" t="s">
        <v>22</v>
      </c>
      <c r="V38" s="52"/>
      <c r="W38" s="52" t="s">
        <v>23</v>
      </c>
      <c r="X38" s="51"/>
      <c r="Y38" s="52" t="s">
        <v>21</v>
      </c>
      <c r="Z38" s="52"/>
      <c r="AA38" s="52" t="s">
        <v>22</v>
      </c>
      <c r="AB38" s="52"/>
      <c r="AC38" s="52" t="s">
        <v>23</v>
      </c>
      <c r="AD38" s="52" t="s">
        <v>21</v>
      </c>
      <c r="AE38" s="52"/>
      <c r="AF38" s="52" t="s">
        <v>22</v>
      </c>
      <c r="AG38" s="52"/>
      <c r="AH38" s="52" t="s">
        <v>23</v>
      </c>
      <c r="AI38" s="51"/>
      <c r="AJ38" s="51"/>
      <c r="AK38" s="52" t="s">
        <v>21</v>
      </c>
      <c r="AL38" s="52"/>
      <c r="AM38" s="52" t="s">
        <v>22</v>
      </c>
      <c r="AN38" s="52"/>
      <c r="AO38" s="52" t="s">
        <v>23</v>
      </c>
      <c r="AP38" s="52" t="s">
        <v>21</v>
      </c>
      <c r="AQ38" s="52"/>
      <c r="AR38" s="52" t="s">
        <v>22</v>
      </c>
      <c r="AS38" s="52"/>
      <c r="AT38" s="52" t="s">
        <v>23</v>
      </c>
      <c r="AU38" s="51"/>
      <c r="AV38" s="51"/>
      <c r="AW38" s="52" t="s">
        <v>21</v>
      </c>
      <c r="AX38" s="52"/>
      <c r="AY38" s="52" t="s">
        <v>22</v>
      </c>
      <c r="AZ38" s="52"/>
      <c r="BA38" s="52" t="s">
        <v>23</v>
      </c>
      <c r="BB38" s="52" t="s">
        <v>21</v>
      </c>
      <c r="BC38" s="52"/>
      <c r="BD38" s="52" t="s">
        <v>22</v>
      </c>
      <c r="BE38" s="52"/>
      <c r="BF38" s="52" t="s">
        <v>23</v>
      </c>
      <c r="BG38" s="51"/>
      <c r="BH38" s="51"/>
      <c r="BI38" s="52" t="s">
        <v>21</v>
      </c>
      <c r="BJ38" s="52"/>
      <c r="BK38" s="52" t="s">
        <v>22</v>
      </c>
      <c r="BL38" s="52"/>
      <c r="BM38" s="52"/>
      <c r="BN38" s="52" t="s">
        <v>21</v>
      </c>
      <c r="BO38" s="52"/>
      <c r="BP38" s="52" t="s">
        <v>22</v>
      </c>
      <c r="BQ38" s="52"/>
      <c r="BR38" s="52"/>
      <c r="BS38" s="52" t="s">
        <v>24</v>
      </c>
      <c r="BT38" s="32"/>
      <c r="BU38" s="33"/>
      <c r="IO38" s="3"/>
      <c r="IP38" s="3"/>
      <c r="IQ38" s="3"/>
      <c r="IR38" s="3"/>
      <c r="IS38" s="3"/>
    </row>
    <row r="39" spans="1:253" s="2" customFormat="1" ht="12.75" customHeight="1" x14ac:dyDescent="0.2">
      <c r="A39" s="53"/>
      <c r="B39" s="53"/>
      <c r="C39" s="34" t="s">
        <v>24</v>
      </c>
      <c r="D39" s="34" t="s">
        <v>25</v>
      </c>
      <c r="E39" s="34" t="s">
        <v>24</v>
      </c>
      <c r="F39" s="34" t="s">
        <v>25</v>
      </c>
      <c r="G39" s="52"/>
      <c r="H39" s="34" t="s">
        <v>24</v>
      </c>
      <c r="I39" s="34" t="s">
        <v>25</v>
      </c>
      <c r="J39" s="34" t="s">
        <v>24</v>
      </c>
      <c r="K39" s="34" t="s">
        <v>25</v>
      </c>
      <c r="L39" s="52"/>
      <c r="M39" s="51"/>
      <c r="N39" s="34" t="s">
        <v>24</v>
      </c>
      <c r="O39" s="34" t="s">
        <v>25</v>
      </c>
      <c r="P39" s="34" t="s">
        <v>24</v>
      </c>
      <c r="Q39" s="34" t="s">
        <v>25</v>
      </c>
      <c r="R39" s="52"/>
      <c r="S39" s="34" t="s">
        <v>24</v>
      </c>
      <c r="T39" s="34" t="s">
        <v>25</v>
      </c>
      <c r="U39" s="34" t="s">
        <v>24</v>
      </c>
      <c r="V39" s="34" t="s">
        <v>25</v>
      </c>
      <c r="W39" s="52"/>
      <c r="X39" s="51"/>
      <c r="Y39" s="34" t="s">
        <v>24</v>
      </c>
      <c r="Z39" s="34" t="s">
        <v>25</v>
      </c>
      <c r="AA39" s="34" t="s">
        <v>24</v>
      </c>
      <c r="AB39" s="34" t="s">
        <v>25</v>
      </c>
      <c r="AC39" s="52"/>
      <c r="AD39" s="34" t="s">
        <v>24</v>
      </c>
      <c r="AE39" s="34" t="s">
        <v>25</v>
      </c>
      <c r="AF39" s="34" t="s">
        <v>24</v>
      </c>
      <c r="AG39" s="34" t="s">
        <v>25</v>
      </c>
      <c r="AH39" s="52"/>
      <c r="AI39" s="51"/>
      <c r="AJ39" s="51"/>
      <c r="AK39" s="34" t="s">
        <v>24</v>
      </c>
      <c r="AL39" s="34" t="s">
        <v>25</v>
      </c>
      <c r="AM39" s="34" t="s">
        <v>24</v>
      </c>
      <c r="AN39" s="34" t="s">
        <v>25</v>
      </c>
      <c r="AO39" s="52"/>
      <c r="AP39" s="34" t="s">
        <v>24</v>
      </c>
      <c r="AQ39" s="34" t="s">
        <v>25</v>
      </c>
      <c r="AR39" s="34" t="s">
        <v>24</v>
      </c>
      <c r="AS39" s="34" t="s">
        <v>25</v>
      </c>
      <c r="AT39" s="52"/>
      <c r="AU39" s="51"/>
      <c r="AV39" s="51"/>
      <c r="AW39" s="34" t="s">
        <v>24</v>
      </c>
      <c r="AX39" s="34" t="s">
        <v>25</v>
      </c>
      <c r="AY39" s="34" t="s">
        <v>24</v>
      </c>
      <c r="AZ39" s="34" t="s">
        <v>25</v>
      </c>
      <c r="BA39" s="52"/>
      <c r="BB39" s="34" t="s">
        <v>24</v>
      </c>
      <c r="BC39" s="34" t="s">
        <v>25</v>
      </c>
      <c r="BD39" s="34" t="s">
        <v>24</v>
      </c>
      <c r="BE39" s="34" t="s">
        <v>25</v>
      </c>
      <c r="BF39" s="52"/>
      <c r="BG39" s="51"/>
      <c r="BH39" s="51"/>
      <c r="BI39" s="34" t="s">
        <v>24</v>
      </c>
      <c r="BJ39" s="34" t="s">
        <v>25</v>
      </c>
      <c r="BK39" s="34" t="s">
        <v>24</v>
      </c>
      <c r="BL39" s="34" t="s">
        <v>25</v>
      </c>
      <c r="BM39" s="4" t="s">
        <v>23</v>
      </c>
      <c r="BN39" s="34" t="s">
        <v>24</v>
      </c>
      <c r="BO39" s="34" t="s">
        <v>25</v>
      </c>
      <c r="BP39" s="34" t="s">
        <v>24</v>
      </c>
      <c r="BQ39" s="34" t="s">
        <v>25</v>
      </c>
      <c r="BR39" s="4" t="s">
        <v>23</v>
      </c>
      <c r="BS39" s="52"/>
      <c r="BT39" s="34" t="s">
        <v>25</v>
      </c>
      <c r="BU39" s="4" t="s">
        <v>23</v>
      </c>
      <c r="IO39" s="3"/>
      <c r="IP39" s="3"/>
      <c r="IQ39" s="3"/>
      <c r="IR39" s="3"/>
      <c r="IS39" s="3"/>
    </row>
    <row r="40" spans="1:253" s="24" customFormat="1" ht="12.75" customHeight="1" x14ac:dyDescent="0.2">
      <c r="A40" s="14" t="s">
        <v>32</v>
      </c>
      <c r="B40" s="9">
        <f>B50-B30</f>
        <v>374218784.26999998</v>
      </c>
      <c r="C40" s="8"/>
      <c r="D40" s="8"/>
      <c r="E40" s="8">
        <f>E50-E30</f>
        <v>51223452.109999999</v>
      </c>
      <c r="F40" s="8">
        <f>F50-F30</f>
        <v>38552617.149999999</v>
      </c>
      <c r="G40" s="8">
        <f>F40-E40</f>
        <v>-12670834.960000001</v>
      </c>
      <c r="H40" s="10"/>
      <c r="I40" s="10"/>
      <c r="J40" s="8">
        <f>J50-J30</f>
        <v>43199046</v>
      </c>
      <c r="K40" s="8">
        <f>K50-K30</f>
        <v>24561312.270000003</v>
      </c>
      <c r="L40" s="8">
        <f>K40-J40</f>
        <v>-18637733.729999997</v>
      </c>
      <c r="M40" s="8">
        <f>F40+K40</f>
        <v>63113929.420000002</v>
      </c>
      <c r="N40" s="11"/>
      <c r="O40" s="11"/>
      <c r="P40" s="8">
        <f>P50-P30</f>
        <v>52257725.699999996</v>
      </c>
      <c r="Q40" s="8">
        <f>Q50-Q30</f>
        <v>29434565.400000002</v>
      </c>
      <c r="R40" s="8">
        <f>Q40-P40</f>
        <v>-22823160.299999993</v>
      </c>
      <c r="S40" s="10"/>
      <c r="T40" s="10"/>
      <c r="U40" s="8">
        <f>U50-U30</f>
        <v>54616357.929999992</v>
      </c>
      <c r="V40" s="8">
        <f>V50-V30</f>
        <v>30928745.720000003</v>
      </c>
      <c r="W40" s="8">
        <f>V40-U40</f>
        <v>-23687612.20999999</v>
      </c>
      <c r="X40" s="8">
        <f>Q40+V40</f>
        <v>60363311.120000005</v>
      </c>
      <c r="Y40" s="8"/>
      <c r="Z40" s="8"/>
      <c r="AA40" s="8">
        <f>AA50-AA30</f>
        <v>47422001.199999996</v>
      </c>
      <c r="AB40" s="8">
        <f>AB50-AB30</f>
        <v>32374909.210000001</v>
      </c>
      <c r="AC40" s="8">
        <f>AB40-AA40</f>
        <v>-15047091.989999995</v>
      </c>
      <c r="AD40" s="8"/>
      <c r="AE40" s="8"/>
      <c r="AF40" s="8">
        <f>AF50-AF30</f>
        <v>48571149.50999999</v>
      </c>
      <c r="AG40" s="8">
        <f>AG50-AG30</f>
        <v>28482929.820000004</v>
      </c>
      <c r="AH40" s="8">
        <f>AG40-AF40</f>
        <v>-20088219.689999986</v>
      </c>
      <c r="AI40" s="8">
        <f>AB40+AG40</f>
        <v>60857839.030000001</v>
      </c>
      <c r="AJ40" s="8" t="e">
        <f>#REF!+AI40</f>
        <v>#REF!</v>
      </c>
      <c r="AK40" s="10"/>
      <c r="AL40" s="10"/>
      <c r="AM40" s="8">
        <f>AM50-AM30</f>
        <v>50359525.639999986</v>
      </c>
      <c r="AN40" s="8">
        <f>AN50-AN30</f>
        <v>55656295.880000003</v>
      </c>
      <c r="AO40" s="8">
        <f>AN40-AM40</f>
        <v>5296770.240000017</v>
      </c>
      <c r="AP40" s="10"/>
      <c r="AQ40" s="10"/>
      <c r="AR40" s="8">
        <f>AR50-AR30</f>
        <v>29899706.73</v>
      </c>
      <c r="AS40" s="8">
        <f>AS50-AS30</f>
        <v>27961599.890000004</v>
      </c>
      <c r="AT40" s="8">
        <f>AS40-AR40</f>
        <v>-1938106.8399999961</v>
      </c>
      <c r="AU40" s="8">
        <f>AM40+AR40</f>
        <v>80259232.36999999</v>
      </c>
      <c r="AV40" s="10" t="e">
        <f>AJ40+AU40</f>
        <v>#REF!</v>
      </c>
      <c r="AW40" s="10"/>
      <c r="AX40" s="10"/>
      <c r="AY40" s="8">
        <f>AY50-AY30</f>
        <v>29626526.98</v>
      </c>
      <c r="AZ40" s="8">
        <f>AZ50-AZ30</f>
        <v>21754930.150000002</v>
      </c>
      <c r="BA40" s="8">
        <f>AZ40-AY40</f>
        <v>-7871596.8299999982</v>
      </c>
      <c r="BB40" s="10"/>
      <c r="BC40" s="10"/>
      <c r="BD40" s="8">
        <f>BD50-BD30</f>
        <v>26802297.84</v>
      </c>
      <c r="BE40" s="8">
        <f>BE50-BE30</f>
        <v>27460304.889999997</v>
      </c>
      <c r="BF40" s="8">
        <f>BE40-BD40</f>
        <v>658007.04999999702</v>
      </c>
      <c r="BG40" s="8">
        <f>AY40+BD40</f>
        <v>56428824.82</v>
      </c>
      <c r="BH40" s="10" t="e">
        <f>AV40+BG40</f>
        <v>#REF!</v>
      </c>
      <c r="BI40" s="10"/>
      <c r="BJ40" s="10"/>
      <c r="BK40" s="8">
        <f>BK50-BK30</f>
        <v>27318719.759999998</v>
      </c>
      <c r="BL40" s="8"/>
      <c r="BM40" s="10"/>
      <c r="BN40" s="10"/>
      <c r="BO40" s="10"/>
      <c r="BP40" s="8">
        <f>BP50-BP30</f>
        <v>40499828.090000004</v>
      </c>
      <c r="BQ40" s="8"/>
      <c r="BR40" s="10"/>
      <c r="BS40" s="8">
        <f>SUM(M40+X40+AI40+AU40+BG40+BK40+BP40)</f>
        <v>388841684.61000001</v>
      </c>
      <c r="BT40" s="9" t="e">
        <f>#REF!+K40+Q40+V40+AB40+AG40+AN40+AS40+AZ40+BE40+BL40+BQ40</f>
        <v>#REF!</v>
      </c>
      <c r="BU40" s="11" t="e">
        <f>BS40-BT40</f>
        <v>#REF!</v>
      </c>
      <c r="IO40" s="3"/>
      <c r="IP40" s="3"/>
      <c r="IQ40" s="3"/>
      <c r="IR40" s="3"/>
      <c r="IS40" s="3"/>
    </row>
    <row r="41" spans="1:253" s="24" customFormat="1" ht="12.75" customHeight="1" x14ac:dyDescent="0.2">
      <c r="A41" s="14" t="s">
        <v>33</v>
      </c>
      <c r="B41" s="9">
        <f>B51-B31</f>
        <v>376528482.06</v>
      </c>
      <c r="C41" s="8"/>
      <c r="D41" s="8"/>
      <c r="E41" s="8">
        <f>E51-E31</f>
        <v>132456063.37999998</v>
      </c>
      <c r="F41" s="8">
        <f>F51-F31</f>
        <v>21077866.250000011</v>
      </c>
      <c r="G41" s="8">
        <f>C41-D41+E41-F41</f>
        <v>111378197.12999997</v>
      </c>
      <c r="H41" s="8"/>
      <c r="I41" s="8"/>
      <c r="J41" s="8">
        <f>J51-J31</f>
        <v>150740708.06</v>
      </c>
      <c r="K41" s="8">
        <f>K24-K31</f>
        <v>22161526.549999993</v>
      </c>
      <c r="L41" s="8">
        <f>SUM(H41-I41,J41-K41)</f>
        <v>128579181.51000001</v>
      </c>
      <c r="M41" s="8">
        <f>F41+K41</f>
        <v>43239392.800000004</v>
      </c>
      <c r="N41" s="8"/>
      <c r="O41" s="8"/>
      <c r="P41" s="8">
        <f>P51-P31</f>
        <v>154837924.84999996</v>
      </c>
      <c r="Q41" s="8">
        <f>Q24-Q31</f>
        <v>26072758.770000003</v>
      </c>
      <c r="R41" s="8">
        <f>SUM(N41-O41,P41-Q41)</f>
        <v>128765166.07999995</v>
      </c>
      <c r="S41" s="8"/>
      <c r="T41" s="8"/>
      <c r="U41" s="8">
        <f>U24-U31</f>
        <v>162836992.22999996</v>
      </c>
      <c r="V41" s="8">
        <f>V24-V31</f>
        <v>26111383.669999998</v>
      </c>
      <c r="W41" s="8">
        <f>SUM(S41-T41,U41-V41)</f>
        <v>136725608.55999997</v>
      </c>
      <c r="X41" s="8">
        <f>Q41+V41</f>
        <v>52184142.439999998</v>
      </c>
      <c r="Y41" s="8"/>
      <c r="Z41" s="8"/>
      <c r="AA41" s="8">
        <f>AA51-AA31</f>
        <v>164111716.63</v>
      </c>
      <c r="AB41" s="8">
        <f>AB51-AB31</f>
        <v>31469754.580000006</v>
      </c>
      <c r="AC41" s="8">
        <f>Y41-Z41+AA41-AB41</f>
        <v>132641962.04999998</v>
      </c>
      <c r="AD41" s="8"/>
      <c r="AE41" s="8"/>
      <c r="AF41" s="8">
        <f>AF51-AF31</f>
        <v>168258164.56999999</v>
      </c>
      <c r="AG41" s="8">
        <f>AG51-AG31</f>
        <v>28266444.379999995</v>
      </c>
      <c r="AH41" s="8">
        <f>AD41-AE41+AF41-AG41</f>
        <v>139991720.19</v>
      </c>
      <c r="AI41" s="8">
        <f>AB41+AG41</f>
        <v>59736198.960000001</v>
      </c>
      <c r="AJ41" s="8" t="e">
        <f>#REF!+AI41</f>
        <v>#REF!</v>
      </c>
      <c r="AK41" s="8"/>
      <c r="AL41" s="8"/>
      <c r="AM41" s="8">
        <f>AM51-AM31</f>
        <v>165595872.46999997</v>
      </c>
      <c r="AN41" s="8">
        <f>AN51-AN31</f>
        <v>0</v>
      </c>
      <c r="AO41" s="8">
        <f>AK41-AL41+AM41-AN41</f>
        <v>165595872.46999997</v>
      </c>
      <c r="AP41" s="8"/>
      <c r="AQ41" s="8"/>
      <c r="AR41" s="8">
        <f>AR51-AR31</f>
        <v>29353565.870000001</v>
      </c>
      <c r="AS41" s="8">
        <f>AS51-AS31</f>
        <v>-22865951.149999999</v>
      </c>
      <c r="AT41" s="8">
        <f>AP41-AQ41+AR41-AS41</f>
        <v>52219517.019999996</v>
      </c>
      <c r="AU41" s="8">
        <f>AM41+AR41</f>
        <v>194949438.33999997</v>
      </c>
      <c r="AV41" s="9" t="e">
        <f>AJ41+AU41</f>
        <v>#REF!</v>
      </c>
      <c r="AW41" s="8"/>
      <c r="AX41" s="8"/>
      <c r="AY41" s="8">
        <f>AY51-AY31</f>
        <v>25502948.600000001</v>
      </c>
      <c r="AZ41" s="8">
        <f>AZ24-AZ31</f>
        <v>-18222600.960000001</v>
      </c>
      <c r="BA41" s="8">
        <f>AW41-AX41+AY41-AZ41</f>
        <v>43725549.560000002</v>
      </c>
      <c r="BB41" s="8"/>
      <c r="BC41" s="8"/>
      <c r="BD41" s="8">
        <f>BD51-BD31</f>
        <v>41752092.590000004</v>
      </c>
      <c r="BE41" s="8">
        <f>BE24-BE31</f>
        <v>-19363949.890000001</v>
      </c>
      <c r="BF41" s="8">
        <f>BB41-BC41+BD41-BE41</f>
        <v>61116042.480000004</v>
      </c>
      <c r="BG41" s="8">
        <f>AY41+BD41</f>
        <v>67255041.189999998</v>
      </c>
      <c r="BH41" s="9" t="e">
        <f>AV41+BG41</f>
        <v>#REF!</v>
      </c>
      <c r="BI41" s="8"/>
      <c r="BJ41" s="8"/>
      <c r="BK41" s="8">
        <f>BK51-BK31</f>
        <v>27401331.119999997</v>
      </c>
      <c r="BL41" s="8"/>
      <c r="BM41" s="8" t="e">
        <f>#REF!</f>
        <v>#REF!</v>
      </c>
      <c r="BN41" s="8"/>
      <c r="BO41" s="8"/>
      <c r="BP41" s="8">
        <f>BP51-BP31</f>
        <v>18867836.140000001</v>
      </c>
      <c r="BQ41" s="9"/>
      <c r="BR41" s="9" t="e">
        <f>#REF!</f>
        <v>#REF!</v>
      </c>
      <c r="BS41" s="8">
        <f>SUM(M41+X41+AI41+AU41+BG41+BI41+BK41+BN41+BP41)</f>
        <v>463633380.98999995</v>
      </c>
      <c r="BT41" s="8" t="e">
        <f>#REF!-#REF!</f>
        <v>#REF!</v>
      </c>
      <c r="BU41" s="8" t="e">
        <f>#REF!-#REF!</f>
        <v>#REF!</v>
      </c>
      <c r="IO41" s="3"/>
      <c r="IP41" s="3"/>
      <c r="IQ41" s="3"/>
      <c r="IR41" s="3"/>
      <c r="IS41" s="3"/>
    </row>
    <row r="42" spans="1:253" s="24" customFormat="1" ht="12.75" customHeight="1" x14ac:dyDescent="0.2">
      <c r="A42" s="14" t="s">
        <v>56</v>
      </c>
      <c r="B42" s="9">
        <f>B41-B40</f>
        <v>2309697.7900000215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9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9"/>
      <c r="BI42" s="8"/>
      <c r="BJ42" s="8"/>
      <c r="BK42" s="8"/>
      <c r="BL42" s="8"/>
      <c r="BM42" s="8"/>
      <c r="BN42" s="8"/>
      <c r="BO42" s="8"/>
      <c r="BP42" s="8"/>
      <c r="BQ42" s="9"/>
      <c r="BR42" s="9"/>
      <c r="BS42" s="8">
        <f>B42</f>
        <v>2309697.7900000215</v>
      </c>
      <c r="BT42" s="8"/>
      <c r="BU42" s="8"/>
      <c r="IO42" s="3"/>
      <c r="IP42" s="3"/>
      <c r="IQ42" s="3"/>
      <c r="IR42" s="3"/>
      <c r="IS42" s="3"/>
    </row>
    <row r="43" spans="1:253" s="24" customFormat="1" ht="17.25" customHeight="1" x14ac:dyDescent="0.2">
      <c r="A43" s="14" t="s">
        <v>53</v>
      </c>
      <c r="B43" s="9"/>
      <c r="C43" s="8"/>
      <c r="D43" s="8"/>
      <c r="E43" s="8">
        <f>E40-E41</f>
        <v>-81232611.269999981</v>
      </c>
      <c r="F43" s="8">
        <f>F40-F41</f>
        <v>17474750.899999987</v>
      </c>
      <c r="G43" s="8"/>
      <c r="H43" s="8"/>
      <c r="I43" s="8"/>
      <c r="J43" s="8">
        <f>J40-J41</f>
        <v>-107541662.06</v>
      </c>
      <c r="K43" s="8">
        <f>K40-K41</f>
        <v>2399785.72000001</v>
      </c>
      <c r="L43" s="8"/>
      <c r="M43" s="8">
        <f>M40-M41</f>
        <v>19874536.619999997</v>
      </c>
      <c r="N43" s="8"/>
      <c r="O43" s="8"/>
      <c r="P43" s="8">
        <f>P40-P41</f>
        <v>-102580199.14999998</v>
      </c>
      <c r="Q43" s="8">
        <f>Q40-Q41</f>
        <v>3361806.629999999</v>
      </c>
      <c r="R43" s="8"/>
      <c r="S43" s="8"/>
      <c r="T43" s="8"/>
      <c r="U43" s="8">
        <f>U40-U41</f>
        <v>-108220634.29999997</v>
      </c>
      <c r="V43" s="8">
        <f>V40-V41</f>
        <v>4817362.0500000045</v>
      </c>
      <c r="W43" s="8"/>
      <c r="X43" s="8">
        <f>X40-X41</f>
        <v>8179168.6800000072</v>
      </c>
      <c r="Y43" s="8"/>
      <c r="Z43" s="8"/>
      <c r="AA43" s="8">
        <f>AA40-AA41</f>
        <v>-116689715.43000001</v>
      </c>
      <c r="AB43" s="8">
        <f>AB40-AB41</f>
        <v>905154.62999999523</v>
      </c>
      <c r="AC43" s="8"/>
      <c r="AD43" s="8"/>
      <c r="AE43" s="8"/>
      <c r="AF43" s="8">
        <f>AF40-AF41</f>
        <v>-119687015.06</v>
      </c>
      <c r="AG43" s="8">
        <f>AG40-AG41</f>
        <v>216485.44000000879</v>
      </c>
      <c r="AH43" s="8"/>
      <c r="AI43" s="8">
        <f>AI40-AI41</f>
        <v>1121640.0700000003</v>
      </c>
      <c r="AJ43" s="8"/>
      <c r="AK43" s="8"/>
      <c r="AL43" s="8"/>
      <c r="AM43" s="8">
        <f>AM40-AM41</f>
        <v>-115236346.82999998</v>
      </c>
      <c r="AN43" s="8">
        <f>AN40-AN41</f>
        <v>55656295.880000003</v>
      </c>
      <c r="AO43" s="8"/>
      <c r="AP43" s="8"/>
      <c r="AQ43" s="8"/>
      <c r="AR43" s="8">
        <f>AR40-AR41</f>
        <v>546140.8599999994</v>
      </c>
      <c r="AS43" s="8">
        <f>AS40-AS41</f>
        <v>50827551.040000007</v>
      </c>
      <c r="AT43" s="8"/>
      <c r="AU43" s="8">
        <f>AU40-AU41</f>
        <v>-114690205.96999998</v>
      </c>
      <c r="AV43" s="9"/>
      <c r="AW43" s="8"/>
      <c r="AX43" s="8"/>
      <c r="AY43" s="8">
        <f>AY40-AY41</f>
        <v>4123578.379999999</v>
      </c>
      <c r="AZ43" s="8">
        <f>AZ52-AZ33</f>
        <v>39977531.109999999</v>
      </c>
      <c r="BA43" s="8"/>
      <c r="BB43" s="8"/>
      <c r="BC43" s="8"/>
      <c r="BD43" s="8">
        <f>BD40-BD41</f>
        <v>-14949794.750000004</v>
      </c>
      <c r="BE43" s="8">
        <f>BE40-BE41</f>
        <v>46824254.780000001</v>
      </c>
      <c r="BF43" s="8"/>
      <c r="BG43" s="8">
        <f>BG40-BG41</f>
        <v>-10826216.369999997</v>
      </c>
      <c r="BH43" s="9"/>
      <c r="BI43" s="8"/>
      <c r="BJ43" s="8"/>
      <c r="BK43" s="8">
        <f>BK40-BK41</f>
        <v>-82611.359999999404</v>
      </c>
      <c r="BL43" s="8"/>
      <c r="BM43" s="8"/>
      <c r="BN43" s="8"/>
      <c r="BO43" s="8"/>
      <c r="BP43" s="8">
        <f>BP40-BP41</f>
        <v>21631991.950000003</v>
      </c>
      <c r="BQ43" s="9"/>
      <c r="BR43" s="9"/>
      <c r="BS43" s="8">
        <f>BS40-BS41</f>
        <v>-74791696.379999936</v>
      </c>
      <c r="BT43" s="8"/>
      <c r="BU43" s="8"/>
      <c r="IO43" s="3"/>
      <c r="IP43" s="3"/>
      <c r="IQ43" s="3"/>
      <c r="IR43" s="3"/>
      <c r="IS43" s="3"/>
    </row>
    <row r="44" spans="1:253" s="24" customFormat="1" ht="12.75" customHeight="1" x14ac:dyDescent="0.2">
      <c r="A44" s="14" t="s">
        <v>54</v>
      </c>
      <c r="B44" s="9">
        <f>B40+B45-B41+B42</f>
        <v>79463008.75</v>
      </c>
      <c r="C44" s="8"/>
      <c r="D44" s="8"/>
      <c r="E44" s="8">
        <f>E43+B44</f>
        <v>-1769602.5199999809</v>
      </c>
      <c r="F44" s="8">
        <f>B44+F43</f>
        <v>96937759.649999991</v>
      </c>
      <c r="G44" s="8"/>
      <c r="H44" s="8"/>
      <c r="I44" s="8"/>
      <c r="J44" s="8">
        <f>J43+E44</f>
        <v>-109311264.57999998</v>
      </c>
      <c r="K44" s="8">
        <f>K43+F44</f>
        <v>99337545.370000005</v>
      </c>
      <c r="L44" s="8"/>
      <c r="M44" s="8">
        <f>M43+B44</f>
        <v>99337545.370000005</v>
      </c>
      <c r="N44" s="10"/>
      <c r="O44" s="10"/>
      <c r="P44" s="8">
        <f>P43+K44</f>
        <v>-3242653.7799999714</v>
      </c>
      <c r="Q44" s="8">
        <f>Q43+K44</f>
        <v>102699352</v>
      </c>
      <c r="R44" s="8"/>
      <c r="S44" s="8"/>
      <c r="T44" s="8"/>
      <c r="U44" s="8">
        <f>U43+P44</f>
        <v>-111463288.07999994</v>
      </c>
      <c r="V44" s="8">
        <f>V43+Q44</f>
        <v>107516714.05000001</v>
      </c>
      <c r="W44" s="8"/>
      <c r="X44" s="8">
        <f>X43+M44</f>
        <v>107516714.05000001</v>
      </c>
      <c r="Y44" s="8"/>
      <c r="Z44" s="8"/>
      <c r="AA44" s="8">
        <f>AA43+V44</f>
        <v>-9173001.3799999952</v>
      </c>
      <c r="AB44" s="8">
        <f>AB43+V44</f>
        <v>108421868.68000001</v>
      </c>
      <c r="AC44" s="8"/>
      <c r="AD44" s="8"/>
      <c r="AE44" s="8"/>
      <c r="AF44" s="8">
        <f>AF43+AB44</f>
        <v>-11265146.379999995</v>
      </c>
      <c r="AG44" s="8">
        <f>AG43+AB44</f>
        <v>108638354.12000002</v>
      </c>
      <c r="AH44" s="8"/>
      <c r="AI44" s="8">
        <f>AI43+X44</f>
        <v>108638354.12</v>
      </c>
      <c r="AJ44" s="8" t="e">
        <f>AJ40+AJ45+AJ41-#REF!-#REF!</f>
        <v>#REF!</v>
      </c>
      <c r="AK44" s="8"/>
      <c r="AL44" s="8"/>
      <c r="AM44" s="8">
        <f>AM43+AG44</f>
        <v>-6597992.7099999636</v>
      </c>
      <c r="AN44" s="8">
        <f>AN43+AG44</f>
        <v>164294650.00000003</v>
      </c>
      <c r="AO44" s="8"/>
      <c r="AP44" s="8"/>
      <c r="AQ44" s="8"/>
      <c r="AR44" s="8">
        <f>AR43+AM44</f>
        <v>-6051851.8499999642</v>
      </c>
      <c r="AS44" s="8">
        <f>AS43+AN44</f>
        <v>215122201.04000002</v>
      </c>
      <c r="AT44" s="8"/>
      <c r="AU44" s="8">
        <f>AU43+AI44</f>
        <v>-6051851.8499999791</v>
      </c>
      <c r="AV44" s="8" t="e">
        <f>AV40+AV45+AV41-#REF!-#REF!</f>
        <v>#REF!</v>
      </c>
      <c r="AW44" s="8"/>
      <c r="AX44" s="8"/>
      <c r="AY44" s="8">
        <f>AY43+AR44</f>
        <v>-1928273.4699999653</v>
      </c>
      <c r="AZ44" s="8">
        <f>AZ43+AS44</f>
        <v>255099732.15000004</v>
      </c>
      <c r="BA44" s="8"/>
      <c r="BB44" s="8"/>
      <c r="BC44" s="8"/>
      <c r="BD44" s="8">
        <f>BD43+AY44</f>
        <v>-16878068.219999969</v>
      </c>
      <c r="BE44" s="8">
        <f>BE43+AZ44</f>
        <v>301923986.93000007</v>
      </c>
      <c r="BF44" s="8"/>
      <c r="BG44" s="8">
        <f>BG43+AU44</f>
        <v>-16878068.219999976</v>
      </c>
      <c r="BH44" s="8" t="e">
        <f>BH40+BH45+BH41-#REF!-#REF!</f>
        <v>#REF!</v>
      </c>
      <c r="BI44" s="8"/>
      <c r="BJ44" s="8"/>
      <c r="BK44" s="8">
        <f>BK43+BG44</f>
        <v>-16960679.579999976</v>
      </c>
      <c r="BL44" s="8">
        <f>BL40-SUM(BL41:BL41)</f>
        <v>0</v>
      </c>
      <c r="BM44" s="8" t="e">
        <f>BM40-SUM(BM41:BM41)</f>
        <v>#REF!</v>
      </c>
      <c r="BN44" s="8"/>
      <c r="BO44" s="8"/>
      <c r="BP44" s="8">
        <f>BP43+BK44</f>
        <v>4671312.3700000271</v>
      </c>
      <c r="BQ44" s="8">
        <f>BQ40-SUM(BQ41:BQ41)</f>
        <v>0</v>
      </c>
      <c r="BR44" s="8" t="e">
        <f>BR40-SUM(BR41:BR41)</f>
        <v>#REF!</v>
      </c>
      <c r="BS44" s="8">
        <f>BG44+BK43+BP43</f>
        <v>4671312.3700000271</v>
      </c>
      <c r="BT44" s="8" t="e">
        <f>BT40-SUM(BU41:BU41)</f>
        <v>#REF!</v>
      </c>
      <c r="BU44" s="8" t="e">
        <f>BU40-SUM(#REF!)</f>
        <v>#REF!</v>
      </c>
      <c r="IO44" s="3"/>
      <c r="IP44" s="3"/>
      <c r="IQ44" s="3"/>
      <c r="IR44" s="3"/>
      <c r="IS44" s="3"/>
    </row>
    <row r="45" spans="1:253" s="24" customFormat="1" ht="12.75" customHeight="1" x14ac:dyDescent="0.2">
      <c r="A45" s="48" t="s">
        <v>35</v>
      </c>
      <c r="B45" s="45">
        <f>B54-B35</f>
        <v>79463008.75</v>
      </c>
      <c r="C45" s="43"/>
      <c r="D45" s="43"/>
      <c r="E45" s="43"/>
      <c r="F45" s="43">
        <f>F54-F35</f>
        <v>56784721.870000005</v>
      </c>
      <c r="G45" s="43"/>
      <c r="H45" s="43"/>
      <c r="I45" s="43"/>
      <c r="J45" s="43">
        <f>G45</f>
        <v>0</v>
      </c>
      <c r="K45" s="43">
        <f>K54-K35</f>
        <v>4482550.99</v>
      </c>
      <c r="L45" s="43"/>
      <c r="M45" s="43">
        <f>F45+K45</f>
        <v>61267272.860000007</v>
      </c>
      <c r="N45" s="49"/>
      <c r="O45" s="49"/>
      <c r="P45" s="43">
        <f>L45</f>
        <v>0</v>
      </c>
      <c r="Q45" s="43">
        <f>Q54-Q35</f>
        <v>5945967.5300000003</v>
      </c>
      <c r="R45" s="43"/>
      <c r="S45" s="43"/>
      <c r="T45" s="43"/>
      <c r="U45" s="43"/>
      <c r="V45" s="43">
        <f>V54-V35</f>
        <v>4010088.2199999997</v>
      </c>
      <c r="W45" s="43"/>
      <c r="X45" s="43">
        <f>Q45+V45</f>
        <v>9956055.75</v>
      </c>
      <c r="Y45" s="43"/>
      <c r="Z45" s="43"/>
      <c r="AA45" s="43"/>
      <c r="AB45" s="43">
        <f>AB54-AB35</f>
        <v>1291776.25</v>
      </c>
      <c r="AC45" s="43"/>
      <c r="AD45" s="43"/>
      <c r="AE45" s="43"/>
      <c r="AF45" s="43"/>
      <c r="AG45" s="43">
        <f>AG54-AG35</f>
        <v>1983959.6900000004</v>
      </c>
      <c r="AH45" s="43"/>
      <c r="AI45" s="43">
        <f>AI54-AI35</f>
        <v>3275735.9399999995</v>
      </c>
      <c r="AJ45" s="43" t="e">
        <f>#REF!+AI45</f>
        <v>#REF!</v>
      </c>
      <c r="AK45" s="43"/>
      <c r="AL45" s="43"/>
      <c r="AM45" s="43">
        <f>AH45</f>
        <v>0</v>
      </c>
      <c r="AN45" s="43">
        <f>AN54-AN35</f>
        <v>4887691.28</v>
      </c>
      <c r="AO45" s="43">
        <f>AH45-AN45</f>
        <v>-4887691.28</v>
      </c>
      <c r="AP45" s="43"/>
      <c r="AQ45" s="43"/>
      <c r="AR45" s="43">
        <f>AM45</f>
        <v>0</v>
      </c>
      <c r="AS45" s="43">
        <f>AS54</f>
        <v>2874215.01</v>
      </c>
      <c r="AT45" s="43">
        <f>AR45-AS45</f>
        <v>-2874215.01</v>
      </c>
      <c r="AU45" s="43"/>
      <c r="AV45" s="43" t="e">
        <f>AJ45+AU45</f>
        <v>#REF!</v>
      </c>
      <c r="AW45" s="43"/>
      <c r="AX45" s="43"/>
      <c r="AY45" s="43">
        <f>AY54-AY35</f>
        <v>0</v>
      </c>
      <c r="AZ45" s="43">
        <f>AZ54</f>
        <v>4111374.61</v>
      </c>
      <c r="BA45" s="43">
        <f>AT45-AZ45</f>
        <v>-6985589.6199999992</v>
      </c>
      <c r="BB45" s="43"/>
      <c r="BC45" s="43"/>
      <c r="BD45" s="43"/>
      <c r="BE45" s="43">
        <f>BE54</f>
        <v>2478039.2400000002</v>
      </c>
      <c r="BF45" s="43">
        <f>BD45-BE45</f>
        <v>-2478039.2400000002</v>
      </c>
      <c r="BG45" s="43"/>
      <c r="BH45" s="43" t="e">
        <f>AV45+BG45</f>
        <v>#REF!</v>
      </c>
      <c r="BI45" s="43"/>
      <c r="BJ45" s="43"/>
      <c r="BK45" s="43"/>
      <c r="BL45" s="43"/>
      <c r="BM45" s="43"/>
      <c r="BN45" s="43"/>
      <c r="BO45" s="43"/>
      <c r="BP45" s="43"/>
      <c r="BQ45" s="43"/>
      <c r="BR45" s="43"/>
      <c r="BS45" s="43">
        <f>B45</f>
        <v>79463008.75</v>
      </c>
      <c r="BT45" s="9"/>
      <c r="BU45" s="11"/>
      <c r="IO45" s="3"/>
      <c r="IP45" s="3"/>
      <c r="IQ45" s="3"/>
      <c r="IR45" s="3"/>
      <c r="IS45" s="3"/>
    </row>
    <row r="46" spans="1:253" ht="12" customHeight="1" x14ac:dyDescent="0.2">
      <c r="G46" s="24"/>
      <c r="H46" s="20"/>
      <c r="K46" s="24"/>
      <c r="O46" s="19"/>
      <c r="P46" s="24"/>
      <c r="Q46" s="16"/>
      <c r="R46" s="20"/>
      <c r="S46" s="20"/>
      <c r="V46" s="24"/>
      <c r="W46" s="24"/>
      <c r="X46" s="24"/>
      <c r="AA46" s="16"/>
      <c r="AC46" s="20"/>
      <c r="AD46" s="20"/>
      <c r="AG46" s="24"/>
      <c r="AI46" s="20"/>
      <c r="AK46" s="20"/>
      <c r="AM46" s="16"/>
      <c r="AN46" s="24"/>
      <c r="AS46" s="24"/>
      <c r="AU46" s="20"/>
      <c r="AW46" s="20"/>
      <c r="AY46" s="16"/>
      <c r="AZ46" s="24"/>
      <c r="BA46" s="24"/>
      <c r="BB46" s="24"/>
      <c r="BF46" s="20"/>
      <c r="BG46" s="20"/>
      <c r="BI46" s="20"/>
      <c r="BK46" s="16"/>
      <c r="BL46" s="24"/>
      <c r="BM46" s="24"/>
      <c r="BN46" s="24"/>
      <c r="BS46" s="16"/>
      <c r="BU46" s="19"/>
      <c r="BV46" s="2"/>
      <c r="IO46" s="3"/>
      <c r="IP46" s="3"/>
      <c r="IQ46" s="3"/>
      <c r="IR46" s="3"/>
    </row>
    <row r="47" spans="1:253" s="2" customFormat="1" ht="12.75" customHeight="1" x14ac:dyDescent="0.2">
      <c r="A47" s="53" t="s">
        <v>36</v>
      </c>
      <c r="B47" s="53"/>
      <c r="C47" s="52" t="s">
        <v>2</v>
      </c>
      <c r="D47" s="52"/>
      <c r="E47" s="52"/>
      <c r="F47" s="52"/>
      <c r="G47" s="34"/>
      <c r="H47" s="52" t="s">
        <v>3</v>
      </c>
      <c r="I47" s="52"/>
      <c r="J47" s="52"/>
      <c r="K47" s="52"/>
      <c r="L47" s="52"/>
      <c r="M47" s="51" t="s">
        <v>4</v>
      </c>
      <c r="N47" s="52" t="s">
        <v>5</v>
      </c>
      <c r="O47" s="52"/>
      <c r="P47" s="52"/>
      <c r="Q47" s="52"/>
      <c r="R47" s="52"/>
      <c r="S47" s="52" t="s">
        <v>6</v>
      </c>
      <c r="T47" s="52"/>
      <c r="U47" s="52"/>
      <c r="V47" s="52"/>
      <c r="W47" s="52"/>
      <c r="X47" s="51" t="s">
        <v>7</v>
      </c>
      <c r="Y47" s="52" t="s">
        <v>9</v>
      </c>
      <c r="Z47" s="52"/>
      <c r="AA47" s="52"/>
      <c r="AB47" s="52"/>
      <c r="AC47" s="52"/>
      <c r="AD47" s="52" t="s">
        <v>10</v>
      </c>
      <c r="AE47" s="52"/>
      <c r="AF47" s="52"/>
      <c r="AG47" s="52"/>
      <c r="AH47" s="52"/>
      <c r="AI47" s="51" t="s">
        <v>11</v>
      </c>
      <c r="AJ47" s="51" t="s">
        <v>8</v>
      </c>
      <c r="AK47" s="52" t="s">
        <v>12</v>
      </c>
      <c r="AL47" s="52"/>
      <c r="AM47" s="52"/>
      <c r="AN47" s="52"/>
      <c r="AO47" s="52"/>
      <c r="AP47" s="52" t="s">
        <v>13</v>
      </c>
      <c r="AQ47" s="52"/>
      <c r="AR47" s="52"/>
      <c r="AS47" s="52"/>
      <c r="AT47" s="52"/>
      <c r="AU47" s="51" t="s">
        <v>14</v>
      </c>
      <c r="AV47" s="51" t="s">
        <v>8</v>
      </c>
      <c r="AW47" s="52" t="s">
        <v>15</v>
      </c>
      <c r="AX47" s="52"/>
      <c r="AY47" s="52"/>
      <c r="AZ47" s="52"/>
      <c r="BA47" s="52"/>
      <c r="BB47" s="52" t="s">
        <v>16</v>
      </c>
      <c r="BC47" s="52"/>
      <c r="BD47" s="52"/>
      <c r="BE47" s="52"/>
      <c r="BF47" s="52"/>
      <c r="BG47" s="51" t="s">
        <v>17</v>
      </c>
      <c r="BH47" s="51" t="s">
        <v>8</v>
      </c>
      <c r="BI47" s="52" t="s">
        <v>18</v>
      </c>
      <c r="BJ47" s="52"/>
      <c r="BK47" s="52"/>
      <c r="BL47" s="52"/>
      <c r="BM47" s="52"/>
      <c r="BN47" s="52" t="s">
        <v>19</v>
      </c>
      <c r="BO47" s="52"/>
      <c r="BP47" s="52"/>
      <c r="BQ47" s="52"/>
      <c r="BR47" s="52"/>
      <c r="BS47" s="36" t="s">
        <v>20</v>
      </c>
      <c r="BT47" s="25"/>
      <c r="BU47" s="35"/>
      <c r="IO47" s="3"/>
      <c r="IP47" s="3"/>
      <c r="IQ47" s="3"/>
      <c r="IR47" s="3"/>
      <c r="IS47" s="3"/>
    </row>
    <row r="48" spans="1:253" s="2" customFormat="1" ht="12.75" customHeight="1" x14ac:dyDescent="0.2">
      <c r="A48" s="53"/>
      <c r="B48" s="53"/>
      <c r="C48" s="52" t="s">
        <v>21</v>
      </c>
      <c r="D48" s="52"/>
      <c r="E48" s="52" t="s">
        <v>22</v>
      </c>
      <c r="F48" s="52"/>
      <c r="G48" s="52" t="s">
        <v>23</v>
      </c>
      <c r="H48" s="52" t="s">
        <v>21</v>
      </c>
      <c r="I48" s="52"/>
      <c r="J48" s="52" t="s">
        <v>22</v>
      </c>
      <c r="K48" s="52"/>
      <c r="L48" s="52" t="s">
        <v>23</v>
      </c>
      <c r="M48" s="51"/>
      <c r="N48" s="52" t="s">
        <v>21</v>
      </c>
      <c r="O48" s="52"/>
      <c r="P48" s="52" t="s">
        <v>22</v>
      </c>
      <c r="Q48" s="52"/>
      <c r="R48" s="52" t="s">
        <v>23</v>
      </c>
      <c r="S48" s="52" t="s">
        <v>21</v>
      </c>
      <c r="T48" s="52"/>
      <c r="U48" s="52" t="s">
        <v>22</v>
      </c>
      <c r="V48" s="52"/>
      <c r="W48" s="52" t="s">
        <v>23</v>
      </c>
      <c r="X48" s="51"/>
      <c r="Y48" s="52" t="s">
        <v>21</v>
      </c>
      <c r="Z48" s="52"/>
      <c r="AA48" s="52" t="s">
        <v>22</v>
      </c>
      <c r="AB48" s="52"/>
      <c r="AC48" s="52" t="s">
        <v>23</v>
      </c>
      <c r="AD48" s="52" t="s">
        <v>21</v>
      </c>
      <c r="AE48" s="52"/>
      <c r="AF48" s="52" t="s">
        <v>22</v>
      </c>
      <c r="AG48" s="52"/>
      <c r="AH48" s="52" t="s">
        <v>23</v>
      </c>
      <c r="AI48" s="51"/>
      <c r="AJ48" s="51"/>
      <c r="AK48" s="52" t="s">
        <v>21</v>
      </c>
      <c r="AL48" s="52"/>
      <c r="AM48" s="52" t="s">
        <v>22</v>
      </c>
      <c r="AN48" s="52"/>
      <c r="AO48" s="52" t="s">
        <v>23</v>
      </c>
      <c r="AP48" s="52" t="s">
        <v>21</v>
      </c>
      <c r="AQ48" s="52"/>
      <c r="AR48" s="52" t="s">
        <v>22</v>
      </c>
      <c r="AS48" s="52"/>
      <c r="AT48" s="52" t="s">
        <v>23</v>
      </c>
      <c r="AU48" s="51"/>
      <c r="AV48" s="51"/>
      <c r="AW48" s="52" t="s">
        <v>21</v>
      </c>
      <c r="AX48" s="52"/>
      <c r="AY48" s="52" t="s">
        <v>22</v>
      </c>
      <c r="AZ48" s="52"/>
      <c r="BA48" s="52" t="s">
        <v>23</v>
      </c>
      <c r="BB48" s="52" t="s">
        <v>21</v>
      </c>
      <c r="BC48" s="52"/>
      <c r="BD48" s="52" t="s">
        <v>22</v>
      </c>
      <c r="BE48" s="52"/>
      <c r="BF48" s="52" t="s">
        <v>23</v>
      </c>
      <c r="BG48" s="51"/>
      <c r="BH48" s="51"/>
      <c r="BI48" s="52" t="s">
        <v>21</v>
      </c>
      <c r="BJ48" s="52"/>
      <c r="BK48" s="52" t="s">
        <v>22</v>
      </c>
      <c r="BL48" s="52"/>
      <c r="BM48" s="52"/>
      <c r="BN48" s="52" t="s">
        <v>21</v>
      </c>
      <c r="BO48" s="52"/>
      <c r="BP48" s="52" t="s">
        <v>22</v>
      </c>
      <c r="BQ48" s="52"/>
      <c r="BR48" s="52"/>
      <c r="BS48" s="52" t="s">
        <v>41</v>
      </c>
      <c r="BT48" s="25"/>
      <c r="BU48" s="35"/>
      <c r="IO48" s="3"/>
      <c r="IP48" s="3"/>
      <c r="IQ48" s="3"/>
      <c r="IR48" s="3"/>
      <c r="IS48" s="3"/>
    </row>
    <row r="49" spans="1:253" s="2" customFormat="1" ht="17.100000000000001" customHeight="1" x14ac:dyDescent="0.2">
      <c r="A49" s="53"/>
      <c r="B49" s="53"/>
      <c r="C49" s="34" t="s">
        <v>24</v>
      </c>
      <c r="D49" s="34" t="s">
        <v>25</v>
      </c>
      <c r="E49" s="34" t="s">
        <v>24</v>
      </c>
      <c r="F49" s="34" t="s">
        <v>25</v>
      </c>
      <c r="G49" s="52"/>
      <c r="H49" s="34" t="s">
        <v>24</v>
      </c>
      <c r="I49" s="34" t="s">
        <v>25</v>
      </c>
      <c r="J49" s="34" t="s">
        <v>24</v>
      </c>
      <c r="K49" s="34" t="s">
        <v>25</v>
      </c>
      <c r="L49" s="52"/>
      <c r="M49" s="51" t="s">
        <v>8</v>
      </c>
      <c r="N49" s="34" t="s">
        <v>24</v>
      </c>
      <c r="O49" s="34" t="s">
        <v>25</v>
      </c>
      <c r="P49" s="34" t="s">
        <v>24</v>
      </c>
      <c r="Q49" s="34" t="s">
        <v>25</v>
      </c>
      <c r="R49" s="52"/>
      <c r="S49" s="34" t="s">
        <v>24</v>
      </c>
      <c r="T49" s="34" t="s">
        <v>25</v>
      </c>
      <c r="U49" s="34" t="s">
        <v>24</v>
      </c>
      <c r="V49" s="34" t="s">
        <v>25</v>
      </c>
      <c r="W49" s="52"/>
      <c r="X49" s="51"/>
      <c r="Y49" s="34" t="s">
        <v>24</v>
      </c>
      <c r="Z49" s="34" t="s">
        <v>25</v>
      </c>
      <c r="AA49" s="34" t="s">
        <v>24</v>
      </c>
      <c r="AB49" s="34" t="s">
        <v>25</v>
      </c>
      <c r="AC49" s="52"/>
      <c r="AD49" s="34" t="s">
        <v>24</v>
      </c>
      <c r="AE49" s="34" t="s">
        <v>25</v>
      </c>
      <c r="AF49" s="34" t="s">
        <v>24</v>
      </c>
      <c r="AG49" s="34" t="s">
        <v>25</v>
      </c>
      <c r="AH49" s="52"/>
      <c r="AI49" s="51"/>
      <c r="AJ49" s="51"/>
      <c r="AK49" s="34" t="s">
        <v>24</v>
      </c>
      <c r="AL49" s="34" t="s">
        <v>25</v>
      </c>
      <c r="AM49" s="34" t="s">
        <v>24</v>
      </c>
      <c r="AN49" s="34" t="s">
        <v>25</v>
      </c>
      <c r="AO49" s="52"/>
      <c r="AP49" s="34" t="s">
        <v>24</v>
      </c>
      <c r="AQ49" s="34" t="s">
        <v>25</v>
      </c>
      <c r="AR49" s="34" t="s">
        <v>24</v>
      </c>
      <c r="AS49" s="34" t="s">
        <v>25</v>
      </c>
      <c r="AT49" s="52"/>
      <c r="AU49" s="51"/>
      <c r="AV49" s="51"/>
      <c r="AW49" s="34" t="s">
        <v>24</v>
      </c>
      <c r="AX49" s="34" t="s">
        <v>25</v>
      </c>
      <c r="AY49" s="34" t="s">
        <v>24</v>
      </c>
      <c r="AZ49" s="34" t="s">
        <v>25</v>
      </c>
      <c r="BA49" s="52"/>
      <c r="BB49" s="34" t="s">
        <v>24</v>
      </c>
      <c r="BC49" s="34" t="s">
        <v>25</v>
      </c>
      <c r="BD49" s="34" t="s">
        <v>24</v>
      </c>
      <c r="BE49" s="34" t="s">
        <v>25</v>
      </c>
      <c r="BF49" s="52"/>
      <c r="BG49" s="51"/>
      <c r="BH49" s="51"/>
      <c r="BI49" s="34" t="s">
        <v>24</v>
      </c>
      <c r="BJ49" s="34" t="s">
        <v>25</v>
      </c>
      <c r="BK49" s="34" t="s">
        <v>24</v>
      </c>
      <c r="BL49" s="34" t="s">
        <v>25</v>
      </c>
      <c r="BM49" s="4" t="s">
        <v>23</v>
      </c>
      <c r="BN49" s="34" t="s">
        <v>24</v>
      </c>
      <c r="BO49" s="34" t="s">
        <v>25</v>
      </c>
      <c r="BP49" s="34" t="s">
        <v>24</v>
      </c>
      <c r="BQ49" s="34" t="s">
        <v>25</v>
      </c>
      <c r="BR49" s="4" t="s">
        <v>23</v>
      </c>
      <c r="BS49" s="52"/>
      <c r="BT49" s="25" t="s">
        <v>25</v>
      </c>
      <c r="BU49" s="22" t="s">
        <v>23</v>
      </c>
      <c r="IO49" s="3"/>
      <c r="IP49" s="3"/>
      <c r="IQ49" s="3"/>
      <c r="IR49" s="3"/>
      <c r="IS49" s="3"/>
    </row>
    <row r="50" spans="1:253" s="24" customFormat="1" ht="17.100000000000001" customHeight="1" x14ac:dyDescent="0.2">
      <c r="A50" s="14" t="s">
        <v>32</v>
      </c>
      <c r="B50" s="9">
        <v>658786000</v>
      </c>
      <c r="C50" s="9" t="s">
        <v>27</v>
      </c>
      <c r="D50" s="9"/>
      <c r="E50" s="8">
        <f>86340492.35+2178338.9</f>
        <v>88518831.25</v>
      </c>
      <c r="F50" s="8">
        <v>86352473.280000001</v>
      </c>
      <c r="G50" s="8">
        <f>F50-E50</f>
        <v>-2166357.9699999988</v>
      </c>
      <c r="H50" s="8" t="s">
        <v>27</v>
      </c>
      <c r="I50" s="8"/>
      <c r="J50" s="8">
        <f>52003249.3-G50+988128.6</f>
        <v>55157735.869999997</v>
      </c>
      <c r="K50" s="8">
        <v>48951515.340000004</v>
      </c>
      <c r="L50" s="8">
        <f>K50-J50</f>
        <v>-6206220.5299999937</v>
      </c>
      <c r="M50" s="9">
        <f>F50+K50</f>
        <v>135303988.62</v>
      </c>
      <c r="N50" s="11" t="s">
        <v>27</v>
      </c>
      <c r="O50" s="11"/>
      <c r="P50" s="8">
        <f>55031029.72-L50+2360000</f>
        <v>63597250.249999993</v>
      </c>
      <c r="Q50" s="8">
        <v>54850720.450000003</v>
      </c>
      <c r="R50" s="8">
        <f>Q50-P50</f>
        <v>-8746529.7999999896</v>
      </c>
      <c r="S50" s="8" t="s">
        <v>27</v>
      </c>
      <c r="T50" s="8"/>
      <c r="U50" s="8">
        <f>53803711.37-R50+1230375.34</f>
        <v>63780616.50999999</v>
      </c>
      <c r="V50" s="8">
        <v>56556454.460000001</v>
      </c>
      <c r="W50" s="8">
        <f>V50-U50</f>
        <v>-7224162.0499999896</v>
      </c>
      <c r="X50" s="9">
        <f>Q50+V50</f>
        <v>111407174.91</v>
      </c>
      <c r="Y50" s="8" t="s">
        <v>27</v>
      </c>
      <c r="Z50" s="8"/>
      <c r="AA50" s="8">
        <f>39589744.81-W50+1245711.03</f>
        <v>48059617.889999993</v>
      </c>
      <c r="AB50" s="8">
        <v>57225603.420000002</v>
      </c>
      <c r="AC50" s="8">
        <f>AB50-AA50</f>
        <v>9165985.5300000086</v>
      </c>
      <c r="AD50" s="10" t="s">
        <v>27</v>
      </c>
      <c r="AE50" s="10"/>
      <c r="AF50" s="8">
        <f>47362101.89-AC50+10220346.47</f>
        <v>48416462.829999991</v>
      </c>
      <c r="AG50" s="8">
        <v>51404485.340000004</v>
      </c>
      <c r="AH50" s="8">
        <f>AG50-AF50</f>
        <v>2988022.5100000128</v>
      </c>
      <c r="AI50" s="9">
        <f>AB50+AG50</f>
        <v>108630088.76000001</v>
      </c>
      <c r="AJ50" s="8" t="e">
        <f>#REF!+AI50</f>
        <v>#REF!</v>
      </c>
      <c r="AK50" s="10" t="s">
        <v>27</v>
      </c>
      <c r="AL50" s="10"/>
      <c r="AM50" s="8">
        <f>53290517.18-AH50</f>
        <v>50302494.669999987</v>
      </c>
      <c r="AN50" s="8">
        <v>55656295.880000003</v>
      </c>
      <c r="AO50" s="8">
        <f>AN50-AM50</f>
        <v>5353801.2100000158</v>
      </c>
      <c r="AP50" s="8" t="s">
        <v>27</v>
      </c>
      <c r="AQ50" s="8"/>
      <c r="AR50" s="8">
        <v>52636342.710000001</v>
      </c>
      <c r="AS50" s="8">
        <v>54593133.020000003</v>
      </c>
      <c r="AT50" s="8">
        <f>AS50-AR50</f>
        <v>1956790.3100000024</v>
      </c>
      <c r="AU50" s="9">
        <f>AM50+AR50</f>
        <v>102938837.38</v>
      </c>
      <c r="AV50" s="10" t="e">
        <f>AJ50+AU50</f>
        <v>#REF!</v>
      </c>
      <c r="AW50" s="10"/>
      <c r="AX50" s="10"/>
      <c r="AY50" s="8">
        <v>52155428.890000001</v>
      </c>
      <c r="AZ50" s="8">
        <v>50027925.280000001</v>
      </c>
      <c r="BA50" s="8">
        <f>AZ50-AY50</f>
        <v>-2127503.6099999994</v>
      </c>
      <c r="BB50" s="8" t="s">
        <v>27</v>
      </c>
      <c r="BC50" s="8"/>
      <c r="BD50" s="8">
        <v>47183571</v>
      </c>
      <c r="BE50" s="8">
        <v>48313103.729999997</v>
      </c>
      <c r="BF50" s="8">
        <f>BE50-BD50</f>
        <v>1129532.7299999967</v>
      </c>
      <c r="BG50" s="9">
        <f>AY50+BD50</f>
        <v>99338999.890000001</v>
      </c>
      <c r="BH50" s="10" t="e">
        <f>AV50+BG50</f>
        <v>#REF!</v>
      </c>
      <c r="BI50" s="10" t="s">
        <v>27</v>
      </c>
      <c r="BJ50" s="10"/>
      <c r="BK50" s="8">
        <v>48092695.659999996</v>
      </c>
      <c r="BL50" s="8"/>
      <c r="BM50" s="10">
        <f>BK50</f>
        <v>48092695.659999996</v>
      </c>
      <c r="BN50" s="10"/>
      <c r="BO50" s="10" t="s">
        <v>27</v>
      </c>
      <c r="BP50" s="8">
        <v>71297115.120000005</v>
      </c>
      <c r="BQ50" s="8"/>
      <c r="BR50" s="10">
        <f>BP50</f>
        <v>71297115.120000005</v>
      </c>
      <c r="BS50" s="9">
        <f>SUM(M50+X50+AI50+AU50+BG50+BK50+BP50)</f>
        <v>677008900.34000003</v>
      </c>
      <c r="BT50" s="26">
        <f>F50+K50+Q50+V50+AB50+AG50+AN50+AS50+AZ50+BE50+BL50+BQ50</f>
        <v>563931710.19999993</v>
      </c>
      <c r="BU50" s="23">
        <f>BS50-BT50</f>
        <v>113077190.1400001</v>
      </c>
      <c r="IO50" s="3"/>
      <c r="IP50" s="3"/>
      <c r="IQ50" s="3"/>
      <c r="IR50" s="3"/>
      <c r="IS50" s="3"/>
    </row>
    <row r="51" spans="1:253" s="24" customFormat="1" ht="17.100000000000001" customHeight="1" x14ac:dyDescent="0.2">
      <c r="A51" s="14" t="s">
        <v>33</v>
      </c>
      <c r="B51" s="27">
        <f>B24</f>
        <v>658786000</v>
      </c>
      <c r="C51" s="8">
        <f>C24</f>
        <v>4340000</v>
      </c>
      <c r="D51" s="8">
        <f>D24</f>
        <v>3924620.62</v>
      </c>
      <c r="E51" s="8">
        <f>E24</f>
        <v>193916197.23999998</v>
      </c>
      <c r="F51" s="8">
        <f>F24</f>
        <v>40242356.63000001</v>
      </c>
      <c r="G51" s="8">
        <f>C51-D51+E51-F51</f>
        <v>154089219.98999995</v>
      </c>
      <c r="H51" s="8">
        <f>H24</f>
        <v>4235379.38</v>
      </c>
      <c r="I51" s="8">
        <f>I24</f>
        <v>3951208.91</v>
      </c>
      <c r="J51" s="8">
        <f>J24</f>
        <v>215834409.20000002</v>
      </c>
      <c r="K51" s="8">
        <f>K24</f>
        <v>40678413.029999994</v>
      </c>
      <c r="L51" s="8">
        <f>H51-I51+J51-K51</f>
        <v>175440166.64000002</v>
      </c>
      <c r="M51" s="9">
        <f>D51+F51+I51+K51</f>
        <v>88796599.189999998</v>
      </c>
      <c r="N51" s="8">
        <f>N24</f>
        <v>3906170.47</v>
      </c>
      <c r="O51" s="8">
        <f t="shared" ref="O51" si="26">O24</f>
        <v>3723273.47</v>
      </c>
      <c r="P51" s="8">
        <f>P24</f>
        <v>227136453.47999996</v>
      </c>
      <c r="Q51" s="8">
        <f>Q24</f>
        <v>48370175.840000004</v>
      </c>
      <c r="R51" s="8">
        <f>SUM(N51-O51,P51-Q51)</f>
        <v>178949174.63999996</v>
      </c>
      <c r="S51" s="8">
        <f>S24</f>
        <v>3824897</v>
      </c>
      <c r="T51" s="8">
        <f>T24</f>
        <v>3717752.24</v>
      </c>
      <c r="U51" s="8">
        <f>U31+U41</f>
        <v>236075455.74999994</v>
      </c>
      <c r="V51" s="8">
        <f>V24</f>
        <v>45698623.979999997</v>
      </c>
      <c r="W51" s="8">
        <f>SUM(S51-T51,U51-V51)</f>
        <v>190483976.52999994</v>
      </c>
      <c r="X51" s="9">
        <f>O51+Q51+T51+V51</f>
        <v>101509825.53</v>
      </c>
      <c r="Y51" s="8">
        <f>Y24</f>
        <v>3829144.7600000002</v>
      </c>
      <c r="Z51" s="8">
        <f>Z24</f>
        <v>3737968.0500000003</v>
      </c>
      <c r="AA51" s="8">
        <f>AA24-AA25</f>
        <v>240874321.83000001</v>
      </c>
      <c r="AB51" s="8">
        <f>AB24</f>
        <v>53168786.160000004</v>
      </c>
      <c r="AC51" s="8">
        <f>Y51-Z51+AA51-AB51</f>
        <v>187796712.38000003</v>
      </c>
      <c r="AD51" s="8">
        <f>AD24</f>
        <v>3413176.71</v>
      </c>
      <c r="AE51" s="8">
        <f>AE24</f>
        <v>2476879.0699999998</v>
      </c>
      <c r="AF51" s="8">
        <f>AF24</f>
        <v>247116392.12</v>
      </c>
      <c r="AG51" s="8">
        <f>AG24</f>
        <v>47017832.599999994</v>
      </c>
      <c r="AH51" s="8">
        <f>AD51-AE51+AF51-AG51</f>
        <v>201034857.16</v>
      </c>
      <c r="AI51" s="9">
        <f>Z51+AB51+AE51+AG51</f>
        <v>106401465.88</v>
      </c>
      <c r="AJ51" s="8" t="e">
        <f>#REF!+AI51</f>
        <v>#REF!</v>
      </c>
      <c r="AK51" s="8">
        <f>AK24</f>
        <v>4258297.6399999997</v>
      </c>
      <c r="AL51" s="8">
        <f>AL24</f>
        <v>0</v>
      </c>
      <c r="AM51" s="8">
        <f>AM24</f>
        <v>243863450.82999995</v>
      </c>
      <c r="AN51" s="8">
        <f>AN24</f>
        <v>0</v>
      </c>
      <c r="AO51" s="8">
        <f>AK51-AL51+AM51-AN51</f>
        <v>248121748.46999994</v>
      </c>
      <c r="AP51" s="8">
        <f>AP24</f>
        <v>2422000</v>
      </c>
      <c r="AQ51" s="8">
        <f>AQ24</f>
        <v>0</v>
      </c>
      <c r="AR51" s="8">
        <f>AR24</f>
        <v>48403686.57</v>
      </c>
      <c r="AS51" s="8">
        <f>AS24</f>
        <v>0</v>
      </c>
      <c r="AT51" s="8">
        <f>AP51-AQ51+AR51-AS51</f>
        <v>50825686.57</v>
      </c>
      <c r="AU51" s="9">
        <f>AK51+AM51+AP51+AR51</f>
        <v>298947435.03999996</v>
      </c>
      <c r="AV51" s="8" t="e">
        <f>AJ51+AU51</f>
        <v>#REF!</v>
      </c>
      <c r="AW51" s="8">
        <f>AW24</f>
        <v>2422000</v>
      </c>
      <c r="AX51" s="8">
        <f>AX24</f>
        <v>0</v>
      </c>
      <c r="AY51" s="8">
        <f>AY24</f>
        <v>42054063.789999999</v>
      </c>
      <c r="AZ51" s="8">
        <f>AZ24</f>
        <v>0</v>
      </c>
      <c r="BA51" s="8">
        <f>AW51-AX51+AY51-AZ51</f>
        <v>44476063.789999999</v>
      </c>
      <c r="BB51" s="8">
        <f>BB24</f>
        <v>2422000</v>
      </c>
      <c r="BC51" s="8">
        <f>BC24</f>
        <v>0</v>
      </c>
      <c r="BD51" s="8">
        <f>BD24</f>
        <v>59113887.640000001</v>
      </c>
      <c r="BE51" s="8">
        <f>BE24</f>
        <v>0</v>
      </c>
      <c r="BF51" s="8">
        <f>BB51-BC51+BD51-BE51</f>
        <v>61535887.640000001</v>
      </c>
      <c r="BG51" s="9">
        <f>AW51+AY51+BB51+BD51</f>
        <v>106011951.43000001</v>
      </c>
      <c r="BH51" s="8" t="e">
        <f>AV51+BG51</f>
        <v>#REF!</v>
      </c>
      <c r="BI51" s="8">
        <f>BI24</f>
        <v>2422000</v>
      </c>
      <c r="BJ51" s="8" t="e">
        <f>#REF!</f>
        <v>#REF!</v>
      </c>
      <c r="BK51" s="8">
        <f>BK24</f>
        <v>45184474.369999997</v>
      </c>
      <c r="BL51" s="8" t="e">
        <f>#REF!</f>
        <v>#REF!</v>
      </c>
      <c r="BM51" s="8" t="e">
        <f>BI51-BJ51+BK51-BL51</f>
        <v>#REF!</v>
      </c>
      <c r="BN51" s="8">
        <f>BN24</f>
        <v>2318000</v>
      </c>
      <c r="BO51" s="8" t="e">
        <f>#REF!</f>
        <v>#REF!</v>
      </c>
      <c r="BP51" s="8">
        <f>BP24</f>
        <v>31112840.949999999</v>
      </c>
      <c r="BQ51" s="8" t="e">
        <f>#REF!</f>
        <v>#REF!</v>
      </c>
      <c r="BR51" s="8" t="e">
        <f>BN51-BO51+BP51-BQ51</f>
        <v>#REF!</v>
      </c>
      <c r="BS51" s="9">
        <f>SUM(M51+X51+AI51+AU51+BG51+BK51+BP51+BI51+BN51)</f>
        <v>782704592.38999999</v>
      </c>
      <c r="BT51" s="28" t="e">
        <f>#REF!--#REF!</f>
        <v>#REF!</v>
      </c>
      <c r="BU51" s="23" t="e">
        <f>BS51-BT51</f>
        <v>#REF!</v>
      </c>
      <c r="IO51" s="3"/>
      <c r="IP51" s="3"/>
      <c r="IQ51" s="3"/>
      <c r="IR51" s="3"/>
      <c r="IS51" s="3"/>
    </row>
    <row r="52" spans="1:253" s="24" customFormat="1" ht="17.100000000000001" customHeight="1" x14ac:dyDescent="0.2">
      <c r="A52" s="14" t="s">
        <v>53</v>
      </c>
      <c r="B52" s="27"/>
      <c r="C52" s="8"/>
      <c r="D52" s="8"/>
      <c r="E52" s="8">
        <f>E50-C51-E51</f>
        <v>-109737365.98999998</v>
      </c>
      <c r="F52" s="8">
        <f>F50-D51-F51</f>
        <v>42185496.029999986</v>
      </c>
      <c r="G52" s="8"/>
      <c r="H52" s="8"/>
      <c r="I52" s="8"/>
      <c r="J52" s="8">
        <f>J50-H51-J51</f>
        <v>-164912052.71000004</v>
      </c>
      <c r="K52" s="8">
        <f>K50-I51-K51</f>
        <v>4321893.4000000134</v>
      </c>
      <c r="L52" s="8"/>
      <c r="M52" s="9">
        <f>M50-M51</f>
        <v>46507389.430000007</v>
      </c>
      <c r="N52" s="8"/>
      <c r="O52" s="8"/>
      <c r="P52" s="8">
        <f>P50-N51-P51</f>
        <v>-167445373.69999996</v>
      </c>
      <c r="Q52" s="8">
        <f>Q50-O51-Q51</f>
        <v>2757271.1400000006</v>
      </c>
      <c r="R52" s="8"/>
      <c r="S52" s="8"/>
      <c r="T52" s="8"/>
      <c r="U52" s="8">
        <f>U50-S51-U51</f>
        <v>-176119736.23999995</v>
      </c>
      <c r="V52" s="8">
        <f>V50-T51-V51</f>
        <v>7140078.2400000021</v>
      </c>
      <c r="W52" s="8"/>
      <c r="X52" s="9">
        <f>X50-X51</f>
        <v>9897349.3799999952</v>
      </c>
      <c r="Y52" s="8"/>
      <c r="Z52" s="8"/>
      <c r="AA52" s="8">
        <f>AA50-Y51-AA51</f>
        <v>-196643848.70000002</v>
      </c>
      <c r="AB52" s="8">
        <f>AB50-Z51-AB51</f>
        <v>318849.21000000089</v>
      </c>
      <c r="AC52" s="8"/>
      <c r="AD52" s="8"/>
      <c r="AE52" s="8"/>
      <c r="AF52" s="8">
        <f>AF50-AD51-AF51</f>
        <v>-202113106</v>
      </c>
      <c r="AG52" s="8">
        <f>AG50-AE51-AG51</f>
        <v>1909773.6700000092</v>
      </c>
      <c r="AH52" s="8"/>
      <c r="AI52" s="9">
        <f>AI50-AI51</f>
        <v>2228622.8800000101</v>
      </c>
      <c r="AJ52" s="8"/>
      <c r="AK52" s="8"/>
      <c r="AL52" s="8"/>
      <c r="AM52" s="8">
        <f>AM50-AK51-AM51</f>
        <v>-197819253.79999995</v>
      </c>
      <c r="AN52" s="8">
        <f>AN50-AL51-AN51</f>
        <v>55656295.880000003</v>
      </c>
      <c r="AO52" s="8"/>
      <c r="AP52" s="8"/>
      <c r="AQ52" s="8"/>
      <c r="AR52" s="8">
        <f>AR50-AP51-AR51</f>
        <v>1810656.1400000006</v>
      </c>
      <c r="AS52" s="8">
        <f>AS50-AQ51-AS51</f>
        <v>54593133.020000003</v>
      </c>
      <c r="AT52" s="8"/>
      <c r="AU52" s="9">
        <f>AU50-AU51</f>
        <v>-196008597.65999997</v>
      </c>
      <c r="AV52" s="8"/>
      <c r="AW52" s="8"/>
      <c r="AX52" s="8"/>
      <c r="AY52" s="8">
        <f>AY50-AW51-AY51</f>
        <v>7679365.1000000015</v>
      </c>
      <c r="AZ52" s="8">
        <f>AZ50-AX51-AZ51</f>
        <v>50027925.280000001</v>
      </c>
      <c r="BA52" s="8"/>
      <c r="BB52" s="8"/>
      <c r="BC52" s="8"/>
      <c r="BD52" s="8">
        <f>BD50-BB51-BD51</f>
        <v>-14352316.640000001</v>
      </c>
      <c r="BE52" s="8">
        <f>BE50-BC51-BE51</f>
        <v>48313103.729999997</v>
      </c>
      <c r="BF52" s="8"/>
      <c r="BG52" s="9">
        <f>BG50-BG51</f>
        <v>-6672951.5400000066</v>
      </c>
      <c r="BH52" s="8"/>
      <c r="BI52" s="8"/>
      <c r="BJ52" s="8"/>
      <c r="BK52" s="8">
        <f>BK50-BI51-BK51</f>
        <v>486221.28999999911</v>
      </c>
      <c r="BL52" s="8">
        <f>BE53</f>
        <v>392769808.78000009</v>
      </c>
      <c r="BM52" s="8"/>
      <c r="BN52" s="8"/>
      <c r="BO52" s="8"/>
      <c r="BP52" s="8">
        <f>BP50-BN51-BP51</f>
        <v>37866274.170000002</v>
      </c>
      <c r="BQ52" s="8"/>
      <c r="BR52" s="8"/>
      <c r="BS52" s="8">
        <f>BS50-BS51</f>
        <v>-105695692.04999995</v>
      </c>
      <c r="BT52" s="28"/>
      <c r="BU52" s="23"/>
      <c r="IO52" s="3"/>
      <c r="IP52" s="3"/>
      <c r="IQ52" s="3"/>
      <c r="IR52" s="3"/>
      <c r="IS52" s="3"/>
    </row>
    <row r="53" spans="1:253" s="24" customFormat="1" ht="14.1" customHeight="1" x14ac:dyDescent="0.2">
      <c r="A53" s="14" t="s">
        <v>54</v>
      </c>
      <c r="B53" s="9">
        <f>B50+B54-B51</f>
        <v>125545989.18000007</v>
      </c>
      <c r="C53" s="9"/>
      <c r="D53" s="9"/>
      <c r="E53" s="8">
        <f>E52+B53</f>
        <v>15808623.190000087</v>
      </c>
      <c r="F53" s="8">
        <f>F52+B53</f>
        <v>167731485.21000004</v>
      </c>
      <c r="G53" s="8"/>
      <c r="H53" s="8"/>
      <c r="I53" s="8"/>
      <c r="J53" s="8">
        <f>J52+F53</f>
        <v>2819432.5</v>
      </c>
      <c r="K53" s="8">
        <f>K52+F53</f>
        <v>172053378.61000004</v>
      </c>
      <c r="L53" s="8"/>
      <c r="M53" s="9">
        <f>M52+B53</f>
        <v>172053378.61000007</v>
      </c>
      <c r="N53" s="11"/>
      <c r="O53" s="11"/>
      <c r="P53" s="8">
        <f>P52+K53</f>
        <v>4608004.9100000858</v>
      </c>
      <c r="Q53" s="8">
        <f>K53+Q52</f>
        <v>174810649.75000006</v>
      </c>
      <c r="R53" s="8"/>
      <c r="S53" s="8"/>
      <c r="T53" s="8"/>
      <c r="U53" s="8">
        <f>Q53+U52</f>
        <v>-1309086.4899998903</v>
      </c>
      <c r="V53" s="8">
        <f>V52+Q53</f>
        <v>181950727.99000007</v>
      </c>
      <c r="W53" s="8"/>
      <c r="X53" s="9">
        <f>X52+M53</f>
        <v>181950727.99000007</v>
      </c>
      <c r="Y53" s="8"/>
      <c r="Z53" s="8"/>
      <c r="AA53" s="8">
        <f>AA52+V53</f>
        <v>-14693120.709999949</v>
      </c>
      <c r="AB53" s="8">
        <f>AB52+V53</f>
        <v>182269577.20000008</v>
      </c>
      <c r="AC53" s="8"/>
      <c r="AD53" s="8"/>
      <c r="AE53" s="8"/>
      <c r="AF53" s="8">
        <f>AF52+AB53</f>
        <v>-19843528.799999923</v>
      </c>
      <c r="AG53" s="8">
        <f>AG52+AB53</f>
        <v>184179350.87000009</v>
      </c>
      <c r="AH53" s="8"/>
      <c r="AI53" s="9">
        <f>AI52+X53</f>
        <v>184179350.87000006</v>
      </c>
      <c r="AJ53" s="8" t="e">
        <f>AJ50+AJ54+AJ51+#REF!-#REF!-#REF!-#REF!-#REF!</f>
        <v>#REF!</v>
      </c>
      <c r="AK53" s="8"/>
      <c r="AL53" s="8"/>
      <c r="AM53" s="8">
        <f>AM52+AG53</f>
        <v>-13639902.929999858</v>
      </c>
      <c r="AN53" s="8">
        <f>AN52+AG53</f>
        <v>239835646.75000009</v>
      </c>
      <c r="AO53" s="8"/>
      <c r="AP53" s="8"/>
      <c r="AQ53" s="8"/>
      <c r="AR53" s="8">
        <f>AR52+AM53</f>
        <v>-11829246.789999858</v>
      </c>
      <c r="AS53" s="8">
        <f>AS52+AN53</f>
        <v>294428779.7700001</v>
      </c>
      <c r="AT53" s="8"/>
      <c r="AU53" s="9">
        <f>AU52+AI53</f>
        <v>-11829246.789999902</v>
      </c>
      <c r="AV53" s="8" t="e">
        <f>AV50+AV54+AV51+#REF!-#REF!-#REF!-#REF!-#REF!</f>
        <v>#REF!</v>
      </c>
      <c r="AW53" s="8"/>
      <c r="AX53" s="8"/>
      <c r="AY53" s="8">
        <f>AY52+AR53</f>
        <v>-4149881.6899998561</v>
      </c>
      <c r="AZ53" s="8">
        <f>AZ52+AS53</f>
        <v>344456705.05000007</v>
      </c>
      <c r="BA53" s="8"/>
      <c r="BB53" s="8" t="s">
        <v>27</v>
      </c>
      <c r="BC53" s="8" t="s">
        <v>27</v>
      </c>
      <c r="BD53" s="8">
        <f>BD52+AY53</f>
        <v>-18502198.329999857</v>
      </c>
      <c r="BE53" s="8">
        <f>BE52+AZ53</f>
        <v>392769808.78000009</v>
      </c>
      <c r="BF53" s="8"/>
      <c r="BG53" s="9">
        <f>BG52+AU53</f>
        <v>-18502198.329999909</v>
      </c>
      <c r="BH53" s="8" t="e">
        <f>BH50+BH54+BH51+#REF!-#REF!-#REF!-#REF!-#REF!</f>
        <v>#REF!</v>
      </c>
      <c r="BI53" s="8"/>
      <c r="BJ53" s="8"/>
      <c r="BK53" s="8">
        <f>BK52+BD53</f>
        <v>-18015977.039999858</v>
      </c>
      <c r="BL53" s="8" t="e">
        <f>BL50+BL54-BJ51-BL51+BL52</f>
        <v>#REF!</v>
      </c>
      <c r="BM53" s="8"/>
      <c r="BN53" s="8" t="s">
        <v>27</v>
      </c>
      <c r="BO53" s="8" t="s">
        <v>27</v>
      </c>
      <c r="BP53" s="8">
        <f>BP52+BK53</f>
        <v>19850297.130000144</v>
      </c>
      <c r="BQ53" s="8" t="e">
        <f>BQ50-SUM(BQ51:BQ52)</f>
        <v>#REF!</v>
      </c>
      <c r="BR53" s="8" t="e">
        <f>BR50-SUM(BR51:BR52)</f>
        <v>#REF!</v>
      </c>
      <c r="BS53" s="8">
        <f>BG53+BK52+BP52</f>
        <v>19850297.130000092</v>
      </c>
      <c r="BT53" s="28" t="e">
        <f>BT50-SUM(BT51:BT52)</f>
        <v>#REF!</v>
      </c>
      <c r="BU53" s="23" t="e">
        <f>BS53-BT53</f>
        <v>#REF!</v>
      </c>
      <c r="IO53" s="3"/>
      <c r="IP53" s="3"/>
      <c r="IQ53" s="3"/>
      <c r="IR53" s="3"/>
      <c r="IS53" s="3"/>
    </row>
    <row r="54" spans="1:253" s="24" customFormat="1" ht="15.75" customHeight="1" x14ac:dyDescent="0.2">
      <c r="A54" s="48" t="s">
        <v>35</v>
      </c>
      <c r="B54" s="45">
        <v>125545989.18000001</v>
      </c>
      <c r="C54" s="43"/>
      <c r="D54" s="43"/>
      <c r="E54" s="43"/>
      <c r="F54" s="43">
        <v>70449817.670000002</v>
      </c>
      <c r="G54" s="43"/>
      <c r="H54" s="43"/>
      <c r="I54" s="43"/>
      <c r="J54" s="43"/>
      <c r="K54" s="43">
        <v>4600250.99</v>
      </c>
      <c r="L54" s="43"/>
      <c r="M54" s="43">
        <f>F54+K54</f>
        <v>75050068.659999996</v>
      </c>
      <c r="N54" s="49"/>
      <c r="O54" s="49"/>
      <c r="P54" s="43"/>
      <c r="Q54" s="43">
        <v>9813121.8300000001</v>
      </c>
      <c r="R54" s="43"/>
      <c r="S54" s="43"/>
      <c r="T54" s="43"/>
      <c r="U54" s="43"/>
      <c r="V54" s="43">
        <v>8234628.2199999997</v>
      </c>
      <c r="W54" s="43"/>
      <c r="X54" s="43">
        <f>Q54+V54</f>
        <v>18047750.050000001</v>
      </c>
      <c r="Y54" s="43"/>
      <c r="Z54" s="43"/>
      <c r="AA54" s="43"/>
      <c r="AB54" s="43">
        <v>8100013.6500000004</v>
      </c>
      <c r="AC54" s="43"/>
      <c r="AD54" s="43"/>
      <c r="AE54" s="43"/>
      <c r="AF54" s="43"/>
      <c r="AG54" s="43">
        <v>4497859.6900000004</v>
      </c>
      <c r="AH54" s="43"/>
      <c r="AI54" s="43">
        <f>AB54+AG54</f>
        <v>12597873.34</v>
      </c>
      <c r="AJ54" s="43" t="e">
        <f>#REF!+AI54</f>
        <v>#REF!</v>
      </c>
      <c r="AK54" s="43"/>
      <c r="AL54" s="43"/>
      <c r="AM54" s="43"/>
      <c r="AN54" s="43">
        <v>8379341.2800000003</v>
      </c>
      <c r="AO54" s="43">
        <f>AM54-AN54</f>
        <v>-8379341.2800000003</v>
      </c>
      <c r="AP54" s="43"/>
      <c r="AQ54" s="43"/>
      <c r="AR54" s="43"/>
      <c r="AS54" s="43">
        <v>2874215.01</v>
      </c>
      <c r="AT54" s="43">
        <f>AR54-AS54</f>
        <v>-2874215.01</v>
      </c>
      <c r="AU54" s="43"/>
      <c r="AV54" s="43" t="e">
        <f>AJ54+AU54</f>
        <v>#REF!</v>
      </c>
      <c r="AW54" s="43"/>
      <c r="AX54" s="43"/>
      <c r="AY54" s="43"/>
      <c r="AZ54" s="43">
        <v>4111374.61</v>
      </c>
      <c r="BA54" s="43">
        <f>AT54-AZ54</f>
        <v>-6985589.6199999992</v>
      </c>
      <c r="BB54" s="43"/>
      <c r="BC54" s="43"/>
      <c r="BD54" s="43"/>
      <c r="BE54" s="43">
        <v>2478039.2400000002</v>
      </c>
      <c r="BF54" s="43">
        <f>BD54-BE54</f>
        <v>-2478039.2400000002</v>
      </c>
      <c r="BG54" s="43"/>
      <c r="BH54" s="43" t="e">
        <f>AV54+BG54</f>
        <v>#REF!</v>
      </c>
      <c r="BI54" s="43"/>
      <c r="BJ54" s="43"/>
      <c r="BK54" s="43"/>
      <c r="BL54" s="43"/>
      <c r="BM54" s="43"/>
      <c r="BN54" s="43"/>
      <c r="BO54" s="43"/>
      <c r="BP54" s="43"/>
      <c r="BQ54" s="43"/>
      <c r="BR54" s="43"/>
      <c r="BS54" s="43">
        <f>B54</f>
        <v>125545989.18000001</v>
      </c>
      <c r="BT54" s="26"/>
      <c r="BU54" s="23">
        <f>BS54-BT54</f>
        <v>125545989.18000001</v>
      </c>
      <c r="IO54" s="3"/>
      <c r="IP54" s="3"/>
      <c r="IQ54" s="3"/>
      <c r="IR54" s="3"/>
      <c r="IS54" s="3"/>
    </row>
    <row r="56" spans="1:253" x14ac:dyDescent="0.2">
      <c r="U56" s="20"/>
      <c r="W56" s="19"/>
      <c r="X56" s="24"/>
      <c r="AF56" s="20"/>
      <c r="AH56" s="19"/>
      <c r="AI56" s="24"/>
      <c r="AK56" s="20"/>
      <c r="AP56" s="24"/>
      <c r="AR56" s="20"/>
      <c r="AT56" s="19"/>
      <c r="AU56" s="24"/>
      <c r="AW56" s="20"/>
      <c r="BB56" s="24"/>
      <c r="BF56" s="16"/>
      <c r="BG56" s="24"/>
      <c r="BI56" s="20"/>
      <c r="BN56" s="24"/>
      <c r="BU56" s="16"/>
      <c r="BV56" s="2"/>
      <c r="IR56" s="3"/>
    </row>
    <row r="57" spans="1:253" x14ac:dyDescent="0.2">
      <c r="U57" s="20"/>
      <c r="W57" s="19"/>
      <c r="X57" s="24"/>
      <c r="AF57" s="20"/>
      <c r="AH57" s="19"/>
      <c r="AI57" s="24"/>
      <c r="AK57" s="20"/>
      <c r="AP57" s="24"/>
      <c r="AR57" s="20"/>
      <c r="AT57" s="19"/>
      <c r="AU57" s="24"/>
      <c r="AW57" s="20"/>
      <c r="BB57" s="24"/>
      <c r="BF57" s="16"/>
      <c r="BG57" s="24"/>
      <c r="BI57" s="20"/>
      <c r="BN57" s="24"/>
      <c r="BU57" s="16"/>
      <c r="BV57" s="2"/>
      <c r="IR57" s="3"/>
    </row>
    <row r="58" spans="1:253" x14ac:dyDescent="0.2">
      <c r="U58" s="20"/>
      <c r="W58" s="19"/>
      <c r="X58" s="24"/>
      <c r="AF58" s="20"/>
      <c r="AH58" s="19"/>
      <c r="AI58" s="24"/>
      <c r="AK58" s="20"/>
      <c r="AP58" s="24"/>
      <c r="AR58" s="20"/>
      <c r="AT58" s="19"/>
      <c r="AU58" s="24"/>
      <c r="AW58" s="20"/>
      <c r="BB58" s="24"/>
      <c r="BF58" s="16"/>
      <c r="BG58" s="24"/>
      <c r="BI58" s="20"/>
      <c r="BN58" s="24"/>
      <c r="BU58" s="16"/>
      <c r="BV58" s="2"/>
      <c r="IR58" s="3"/>
    </row>
    <row r="59" spans="1:253" x14ac:dyDescent="0.2">
      <c r="U59" s="20"/>
      <c r="W59" s="19"/>
      <c r="X59" s="24"/>
      <c r="AF59" s="20"/>
      <c r="AH59" s="19"/>
      <c r="AI59" s="24"/>
      <c r="AK59" s="20"/>
      <c r="AP59" s="24"/>
      <c r="AR59" s="20"/>
      <c r="AT59" s="19"/>
      <c r="AU59" s="24"/>
      <c r="AW59" s="20"/>
      <c r="BB59" s="24"/>
      <c r="BF59" s="16"/>
      <c r="BG59" s="24"/>
      <c r="BI59" s="20"/>
      <c r="BN59" s="24"/>
      <c r="BU59" s="16"/>
      <c r="BV59" s="2"/>
      <c r="IR59" s="3"/>
    </row>
    <row r="60" spans="1:253" x14ac:dyDescent="0.2">
      <c r="U60" s="20"/>
      <c r="W60" s="19"/>
      <c r="X60" s="24"/>
      <c r="AF60" s="20"/>
      <c r="AH60" s="19"/>
      <c r="AI60" s="24"/>
      <c r="AK60" s="20"/>
      <c r="AP60" s="24"/>
      <c r="AR60" s="20"/>
      <c r="AT60" s="19"/>
      <c r="AU60" s="24"/>
      <c r="AW60" s="20"/>
      <c r="BB60" s="24"/>
      <c r="BF60" s="16"/>
      <c r="BG60" s="24"/>
      <c r="BI60" s="20"/>
      <c r="BN60" s="24"/>
      <c r="BU60" s="16"/>
      <c r="BV60" s="2"/>
      <c r="IR60" s="3"/>
    </row>
    <row r="61" spans="1:253" x14ac:dyDescent="0.2">
      <c r="U61" s="20"/>
      <c r="W61" s="19"/>
      <c r="X61" s="24"/>
      <c r="AF61" s="20"/>
      <c r="AH61" s="19"/>
      <c r="AI61" s="24"/>
      <c r="AK61" s="20"/>
      <c r="AP61" s="24"/>
      <c r="AR61" s="20"/>
      <c r="AT61" s="19"/>
      <c r="AU61" s="24"/>
      <c r="AW61" s="20"/>
      <c r="BB61" s="24"/>
      <c r="BF61" s="16"/>
      <c r="BG61" s="24"/>
      <c r="BI61" s="20"/>
      <c r="BN61" s="24"/>
      <c r="BU61" s="16"/>
      <c r="BV61" s="2"/>
      <c r="IR61" s="3"/>
    </row>
    <row r="62" spans="1:253" x14ac:dyDescent="0.2">
      <c r="U62" s="20"/>
      <c r="W62" s="19"/>
      <c r="X62" s="24"/>
      <c r="AF62" s="20"/>
      <c r="AH62" s="19"/>
      <c r="AI62" s="24"/>
      <c r="AK62" s="20"/>
      <c r="AP62" s="24"/>
      <c r="AR62" s="20"/>
      <c r="AT62" s="19"/>
      <c r="AU62" s="24"/>
      <c r="AW62" s="20"/>
      <c r="BB62" s="24"/>
      <c r="BF62" s="16"/>
      <c r="BG62" s="24"/>
      <c r="BI62" s="20"/>
      <c r="BN62" s="24"/>
      <c r="BU62" s="16"/>
      <c r="BV62" s="2"/>
      <c r="IR62" s="3"/>
    </row>
    <row r="63" spans="1:253" x14ac:dyDescent="0.2">
      <c r="U63" s="20"/>
      <c r="W63" s="19"/>
      <c r="X63" s="24"/>
      <c r="AF63" s="20"/>
      <c r="AH63" s="19"/>
      <c r="AI63" s="24"/>
      <c r="AK63" s="20"/>
      <c r="AP63" s="24"/>
      <c r="AR63" s="20"/>
      <c r="AT63" s="19"/>
      <c r="AU63" s="24"/>
      <c r="AW63" s="20"/>
      <c r="BB63" s="24"/>
      <c r="BF63" s="16"/>
      <c r="BG63" s="24"/>
      <c r="BI63" s="20"/>
      <c r="BN63" s="24"/>
      <c r="BU63" s="16"/>
      <c r="BV63" s="2"/>
      <c r="IR63" s="3"/>
    </row>
    <row r="64" spans="1:253" x14ac:dyDescent="0.2">
      <c r="U64" s="20"/>
      <c r="W64" s="19"/>
      <c r="X64" s="24"/>
      <c r="AF64" s="20"/>
      <c r="AH64" s="19"/>
      <c r="AI64" s="24"/>
      <c r="AK64" s="20"/>
      <c r="AP64" s="24"/>
      <c r="AR64" s="20"/>
      <c r="AT64" s="19"/>
      <c r="AU64" s="24"/>
      <c r="AW64" s="20"/>
      <c r="BB64" s="24"/>
      <c r="BF64" s="16"/>
      <c r="BG64" s="24"/>
      <c r="BI64" s="20"/>
      <c r="BN64" s="24"/>
      <c r="BU64" s="16"/>
      <c r="BV64" s="2"/>
      <c r="IR64" s="3"/>
    </row>
    <row r="65" spans="21:252" x14ac:dyDescent="0.2">
      <c r="U65" s="20"/>
      <c r="W65" s="19"/>
      <c r="X65" s="24"/>
      <c r="AF65" s="20"/>
      <c r="AH65" s="19"/>
      <c r="AI65" s="24"/>
      <c r="AK65" s="20"/>
      <c r="AP65" s="24"/>
      <c r="AR65" s="20"/>
      <c r="AT65" s="19"/>
      <c r="AU65" s="24"/>
      <c r="AW65" s="20"/>
      <c r="BB65" s="24"/>
      <c r="BF65" s="16"/>
      <c r="BG65" s="24"/>
      <c r="BI65" s="20"/>
      <c r="BN65" s="24"/>
      <c r="BU65" s="16"/>
      <c r="BV65" s="2"/>
      <c r="IR65" s="3"/>
    </row>
    <row r="66" spans="21:252" x14ac:dyDescent="0.2">
      <c r="U66" s="20"/>
      <c r="W66" s="19"/>
      <c r="X66" s="24"/>
      <c r="AF66" s="20"/>
      <c r="AH66" s="19"/>
      <c r="AI66" s="24"/>
      <c r="AK66" s="20"/>
      <c r="AP66" s="24"/>
      <c r="AR66" s="20"/>
      <c r="AT66" s="19"/>
      <c r="AU66" s="24"/>
      <c r="AW66" s="20"/>
      <c r="BB66" s="24"/>
      <c r="BF66" s="16"/>
      <c r="BG66" s="24"/>
      <c r="BI66" s="20"/>
      <c r="BN66" s="24"/>
      <c r="BU66" s="16"/>
      <c r="BV66" s="2"/>
      <c r="IR66" s="3"/>
    </row>
    <row r="67" spans="21:252" x14ac:dyDescent="0.2">
      <c r="U67" s="20"/>
      <c r="W67" s="19"/>
      <c r="X67" s="24"/>
      <c r="AF67" s="20"/>
      <c r="AH67" s="19"/>
      <c r="AI67" s="24"/>
      <c r="AK67" s="20"/>
      <c r="AP67" s="24"/>
      <c r="AR67" s="20"/>
      <c r="AT67" s="19"/>
      <c r="AU67" s="24"/>
      <c r="AW67" s="20"/>
      <c r="BB67" s="24"/>
      <c r="BF67" s="16"/>
      <c r="BG67" s="24"/>
      <c r="BI67" s="20"/>
      <c r="BN67" s="24"/>
      <c r="BU67" s="16"/>
      <c r="BV67" s="2"/>
      <c r="IR67" s="3"/>
    </row>
    <row r="68" spans="21:252" x14ac:dyDescent="0.2">
      <c r="U68" s="20"/>
      <c r="W68" s="19"/>
      <c r="X68" s="24"/>
      <c r="AF68" s="20"/>
      <c r="AH68" s="19"/>
      <c r="AI68" s="24"/>
      <c r="AK68" s="20"/>
      <c r="AP68" s="24"/>
      <c r="AR68" s="20"/>
      <c r="AT68" s="19"/>
      <c r="AU68" s="24"/>
      <c r="AW68" s="20"/>
      <c r="BB68" s="24"/>
      <c r="BF68" s="16"/>
      <c r="BG68" s="24"/>
      <c r="BI68" s="20"/>
      <c r="BN68" s="24"/>
      <c r="BU68" s="16"/>
      <c r="BV68" s="2"/>
      <c r="IR68" s="3"/>
    </row>
    <row r="69" spans="21:252" x14ac:dyDescent="0.2">
      <c r="U69" s="20"/>
      <c r="W69" s="19"/>
      <c r="X69" s="24"/>
      <c r="AF69" s="20"/>
      <c r="AH69" s="19"/>
      <c r="AI69" s="24"/>
      <c r="AK69" s="20"/>
      <c r="AP69" s="24"/>
      <c r="AR69" s="20"/>
      <c r="AT69" s="19"/>
      <c r="AU69" s="24"/>
      <c r="AW69" s="20"/>
      <c r="BB69" s="24"/>
      <c r="BF69" s="16"/>
      <c r="BG69" s="24"/>
      <c r="BI69" s="20"/>
      <c r="BN69" s="24"/>
      <c r="BU69" s="16"/>
      <c r="BV69" s="2"/>
      <c r="IR69" s="3"/>
    </row>
    <row r="70" spans="21:252" x14ac:dyDescent="0.2">
      <c r="U70" s="20"/>
      <c r="W70" s="19"/>
      <c r="X70" s="24"/>
      <c r="AF70" s="20"/>
      <c r="AH70" s="19"/>
      <c r="AI70" s="24"/>
      <c r="AK70" s="20"/>
      <c r="AP70" s="24"/>
      <c r="AR70" s="20"/>
      <c r="AT70" s="19"/>
      <c r="AU70" s="24"/>
      <c r="AW70" s="20"/>
      <c r="BB70" s="24"/>
      <c r="BF70" s="16"/>
      <c r="BG70" s="24"/>
      <c r="BI70" s="20"/>
      <c r="BN70" s="24"/>
      <c r="BU70" s="16"/>
      <c r="BV70" s="2"/>
      <c r="IR70" s="3"/>
    </row>
    <row r="71" spans="21:252" x14ac:dyDescent="0.2">
      <c r="U71" s="20"/>
      <c r="W71" s="19"/>
      <c r="X71" s="24"/>
      <c r="AF71" s="20"/>
      <c r="AH71" s="19"/>
      <c r="AI71" s="24"/>
      <c r="AK71" s="20"/>
      <c r="AP71" s="24"/>
      <c r="AR71" s="20"/>
      <c r="AT71" s="19"/>
      <c r="AU71" s="24"/>
      <c r="AW71" s="20"/>
      <c r="BB71" s="24"/>
      <c r="BF71" s="16"/>
      <c r="BG71" s="24"/>
      <c r="BI71" s="20"/>
      <c r="BN71" s="24"/>
      <c r="BU71" s="16"/>
      <c r="BV71" s="2"/>
      <c r="IR71" s="3"/>
    </row>
    <row r="72" spans="21:252" x14ac:dyDescent="0.2">
      <c r="U72" s="20"/>
      <c r="W72" s="19"/>
      <c r="X72" s="24"/>
      <c r="AF72" s="20"/>
      <c r="AH72" s="19"/>
      <c r="AI72" s="24"/>
      <c r="AK72" s="20"/>
      <c r="AP72" s="24"/>
      <c r="AR72" s="20"/>
      <c r="AT72" s="19"/>
      <c r="AU72" s="24"/>
      <c r="AW72" s="20"/>
      <c r="BB72" s="24"/>
      <c r="BF72" s="16"/>
      <c r="BG72" s="24"/>
      <c r="BI72" s="20"/>
      <c r="BN72" s="24"/>
      <c r="BU72" s="16"/>
      <c r="BV72" s="2"/>
      <c r="IR72" s="3"/>
    </row>
    <row r="73" spans="21:252" x14ac:dyDescent="0.2">
      <c r="U73" s="20"/>
      <c r="W73" s="19"/>
      <c r="X73" s="24"/>
      <c r="AF73" s="20"/>
      <c r="AH73" s="19"/>
      <c r="AI73" s="24"/>
      <c r="AK73" s="20"/>
      <c r="AP73" s="24"/>
      <c r="AR73" s="20"/>
      <c r="AT73" s="19"/>
      <c r="AU73" s="24"/>
      <c r="AW73" s="20"/>
      <c r="BB73" s="24"/>
      <c r="BF73" s="16"/>
      <c r="BG73" s="24"/>
      <c r="BI73" s="20"/>
      <c r="BN73" s="24"/>
      <c r="BU73" s="16"/>
      <c r="BV73" s="2"/>
      <c r="IR73" s="3"/>
    </row>
    <row r="74" spans="21:252" x14ac:dyDescent="0.2">
      <c r="U74" s="20"/>
      <c r="W74" s="19"/>
      <c r="X74" s="24"/>
      <c r="AF74" s="20"/>
      <c r="AH74" s="19"/>
      <c r="AI74" s="24"/>
      <c r="AK74" s="20"/>
      <c r="AP74" s="24"/>
      <c r="AR74" s="20"/>
      <c r="AT74" s="19"/>
      <c r="AU74" s="24"/>
      <c r="AW74" s="20"/>
      <c r="BB74" s="24"/>
      <c r="BF74" s="16"/>
      <c r="BG74" s="24"/>
      <c r="BI74" s="20"/>
      <c r="BN74" s="24"/>
      <c r="BU74" s="16"/>
      <c r="BV74" s="2"/>
      <c r="IR74" s="3"/>
    </row>
    <row r="75" spans="21:252" x14ac:dyDescent="0.2">
      <c r="U75" s="20"/>
      <c r="W75" s="19"/>
      <c r="X75" s="24"/>
      <c r="AF75" s="20"/>
      <c r="AH75" s="19"/>
      <c r="AI75" s="24"/>
      <c r="AK75" s="20"/>
      <c r="AP75" s="24"/>
      <c r="AR75" s="20"/>
      <c r="AT75" s="19"/>
      <c r="AU75" s="24"/>
      <c r="AW75" s="20"/>
      <c r="BB75" s="24"/>
      <c r="BF75" s="16"/>
      <c r="BG75" s="24"/>
      <c r="BI75" s="20"/>
      <c r="BN75" s="24"/>
      <c r="BU75" s="16"/>
      <c r="BV75" s="2"/>
      <c r="IR75" s="3"/>
    </row>
    <row r="76" spans="21:252" x14ac:dyDescent="0.2">
      <c r="U76" s="20"/>
      <c r="W76" s="19"/>
      <c r="X76" s="24"/>
      <c r="AF76" s="20"/>
      <c r="AH76" s="19"/>
      <c r="AI76" s="24"/>
      <c r="AK76" s="20"/>
      <c r="AP76" s="24"/>
      <c r="AR76" s="20"/>
      <c r="AT76" s="19"/>
      <c r="AU76" s="24"/>
      <c r="AW76" s="20"/>
      <c r="BB76" s="24"/>
      <c r="BF76" s="16"/>
      <c r="BG76" s="24"/>
      <c r="BI76" s="20"/>
      <c r="BN76" s="24"/>
      <c r="BU76" s="16"/>
      <c r="BV76" s="2"/>
      <c r="IR76" s="3"/>
    </row>
    <row r="77" spans="21:252" x14ac:dyDescent="0.2">
      <c r="U77" s="20"/>
      <c r="W77" s="19"/>
      <c r="X77" s="24"/>
      <c r="AF77" s="20"/>
      <c r="AH77" s="19"/>
      <c r="AI77" s="24"/>
      <c r="AK77" s="20"/>
      <c r="AP77" s="24"/>
      <c r="AR77" s="20"/>
      <c r="AT77" s="19"/>
      <c r="AU77" s="24"/>
      <c r="AW77" s="20"/>
      <c r="BB77" s="24"/>
      <c r="BF77" s="16"/>
      <c r="BG77" s="24"/>
      <c r="BI77" s="20"/>
      <c r="BN77" s="24"/>
      <c r="BU77" s="16"/>
      <c r="BV77" s="2"/>
      <c r="IR77" s="3"/>
    </row>
    <row r="78" spans="21:252" x14ac:dyDescent="0.2">
      <c r="U78" s="20"/>
      <c r="W78" s="19"/>
      <c r="X78" s="24"/>
      <c r="AF78" s="20"/>
      <c r="AH78" s="19"/>
      <c r="AI78" s="24"/>
      <c r="AK78" s="20"/>
      <c r="AP78" s="24"/>
      <c r="AR78" s="20"/>
      <c r="AT78" s="19"/>
      <c r="AU78" s="24"/>
      <c r="AW78" s="20"/>
      <c r="BB78" s="24"/>
      <c r="BF78" s="16"/>
      <c r="BG78" s="24"/>
      <c r="BI78" s="20"/>
      <c r="BN78" s="24"/>
      <c r="BU78" s="16"/>
      <c r="BV78" s="2"/>
      <c r="IR78" s="3"/>
    </row>
  </sheetData>
  <mergeCells count="230">
    <mergeCell ref="BS48:BS49"/>
    <mergeCell ref="BS28:BS29"/>
    <mergeCell ref="BS38:BS39"/>
    <mergeCell ref="BN48:BO48"/>
    <mergeCell ref="BP48:BR48"/>
    <mergeCell ref="BN27:BR27"/>
    <mergeCell ref="BK48:BM48"/>
    <mergeCell ref="BG47:BG49"/>
    <mergeCell ref="BH47:BH49"/>
    <mergeCell ref="BI47:BM47"/>
    <mergeCell ref="BK38:BM38"/>
    <mergeCell ref="BG37:BG39"/>
    <mergeCell ref="BH37:BH39"/>
    <mergeCell ref="AP27:AT27"/>
    <mergeCell ref="AU27:AU29"/>
    <mergeCell ref="AK28:AL28"/>
    <mergeCell ref="AM28:AN28"/>
    <mergeCell ref="AO28:AO29"/>
    <mergeCell ref="AU47:AU49"/>
    <mergeCell ref="C1:M1"/>
    <mergeCell ref="BN47:BR47"/>
    <mergeCell ref="BN38:BO38"/>
    <mergeCell ref="BA48:BA49"/>
    <mergeCell ref="BB48:BC48"/>
    <mergeCell ref="BD48:BE48"/>
    <mergeCell ref="BF48:BF49"/>
    <mergeCell ref="BI48:BJ48"/>
    <mergeCell ref="AW47:BA47"/>
    <mergeCell ref="BB27:BF27"/>
    <mergeCell ref="Y1:AI1"/>
    <mergeCell ref="AK1:BG1"/>
    <mergeCell ref="BI1:BS1"/>
    <mergeCell ref="S48:T48"/>
    <mergeCell ref="U48:V48"/>
    <mergeCell ref="W48:W49"/>
    <mergeCell ref="Y48:Z48"/>
    <mergeCell ref="AA48:AB48"/>
    <mergeCell ref="X47:X49"/>
    <mergeCell ref="Y47:AC47"/>
    <mergeCell ref="AD48:AE48"/>
    <mergeCell ref="AC48:AC49"/>
    <mergeCell ref="H48:I48"/>
    <mergeCell ref="J48:K48"/>
    <mergeCell ref="N48:O48"/>
    <mergeCell ref="AF48:AG48"/>
    <mergeCell ref="AH48:AH49"/>
    <mergeCell ref="BP38:BR38"/>
    <mergeCell ref="AH38:AH39"/>
    <mergeCell ref="AK38:AL38"/>
    <mergeCell ref="AM38:AN38"/>
    <mergeCell ref="BD38:BE38"/>
    <mergeCell ref="BF38:BF39"/>
    <mergeCell ref="AV37:AV39"/>
    <mergeCell ref="AW37:BA37"/>
    <mergeCell ref="BB37:BF37"/>
    <mergeCell ref="AK37:AO37"/>
    <mergeCell ref="BI37:BM37"/>
    <mergeCell ref="AW38:AX38"/>
    <mergeCell ref="AY38:AZ38"/>
    <mergeCell ref="BA38:BA39"/>
    <mergeCell ref="BB38:BC38"/>
    <mergeCell ref="BI38:BJ38"/>
    <mergeCell ref="AK47:AO47"/>
    <mergeCell ref="AP47:AT47"/>
    <mergeCell ref="AV47:AV49"/>
    <mergeCell ref="A47:B49"/>
    <mergeCell ref="C47:F47"/>
    <mergeCell ref="H47:L47"/>
    <mergeCell ref="M47:M49"/>
    <mergeCell ref="N47:R47"/>
    <mergeCell ref="S47:W47"/>
    <mergeCell ref="L48:L49"/>
    <mergeCell ref="BB47:BF47"/>
    <mergeCell ref="AK48:AL48"/>
    <mergeCell ref="AM48:AN48"/>
    <mergeCell ref="AO48:AO49"/>
    <mergeCell ref="AP48:AQ48"/>
    <mergeCell ref="AR48:AS48"/>
    <mergeCell ref="AT48:AT49"/>
    <mergeCell ref="AW48:AX48"/>
    <mergeCell ref="AY48:AZ48"/>
    <mergeCell ref="AJ47:AJ49"/>
    <mergeCell ref="P48:Q48"/>
    <mergeCell ref="R48:R49"/>
    <mergeCell ref="AD47:AH47"/>
    <mergeCell ref="AI47:AI49"/>
    <mergeCell ref="C48:D48"/>
    <mergeCell ref="E48:F48"/>
    <mergeCell ref="G48:G49"/>
    <mergeCell ref="A37:B39"/>
    <mergeCell ref="C37:F37"/>
    <mergeCell ref="H37:L37"/>
    <mergeCell ref="M37:M39"/>
    <mergeCell ref="N37:R37"/>
    <mergeCell ref="AU37:AU39"/>
    <mergeCell ref="AO38:AO39"/>
    <mergeCell ref="AP38:AQ38"/>
    <mergeCell ref="AR38:AS38"/>
    <mergeCell ref="AT38:AT39"/>
    <mergeCell ref="X37:X39"/>
    <mergeCell ref="Y37:AC37"/>
    <mergeCell ref="AD37:AH37"/>
    <mergeCell ref="AI37:AI39"/>
    <mergeCell ref="C38:D38"/>
    <mergeCell ref="E38:F38"/>
    <mergeCell ref="G38:G39"/>
    <mergeCell ref="H38:I38"/>
    <mergeCell ref="J38:K38"/>
    <mergeCell ref="L38:L39"/>
    <mergeCell ref="N38:O38"/>
    <mergeCell ref="P38:Q38"/>
    <mergeCell ref="AF38:AG38"/>
    <mergeCell ref="BP28:BR28"/>
    <mergeCell ref="Y28:Z28"/>
    <mergeCell ref="AA28:AB28"/>
    <mergeCell ref="AC28:AC29"/>
    <mergeCell ref="AD28:AE28"/>
    <mergeCell ref="AF28:AG28"/>
    <mergeCell ref="S37:W37"/>
    <mergeCell ref="R38:R39"/>
    <mergeCell ref="S38:T38"/>
    <mergeCell ref="U38:V38"/>
    <mergeCell ref="W38:W39"/>
    <mergeCell ref="BD28:BE28"/>
    <mergeCell ref="AH28:AH29"/>
    <mergeCell ref="AI27:AI29"/>
    <mergeCell ref="AJ27:AJ29"/>
    <mergeCell ref="AK27:AO27"/>
    <mergeCell ref="AJ37:AJ39"/>
    <mergeCell ref="Y38:Z38"/>
    <mergeCell ref="AA38:AB38"/>
    <mergeCell ref="AC38:AC39"/>
    <mergeCell ref="AD38:AE38"/>
    <mergeCell ref="AP37:AT37"/>
    <mergeCell ref="BN37:BR37"/>
    <mergeCell ref="AD27:AH27"/>
    <mergeCell ref="BI27:BM27"/>
    <mergeCell ref="AV27:AV29"/>
    <mergeCell ref="AW27:BA27"/>
    <mergeCell ref="AY28:AZ28"/>
    <mergeCell ref="BA28:BA29"/>
    <mergeCell ref="BB28:BC28"/>
    <mergeCell ref="BF28:BF29"/>
    <mergeCell ref="BI28:BJ28"/>
    <mergeCell ref="BK28:BM28"/>
    <mergeCell ref="BH27:BH29"/>
    <mergeCell ref="BG27:BG29"/>
    <mergeCell ref="R28:R29"/>
    <mergeCell ref="BN3:BO3"/>
    <mergeCell ref="A27:B29"/>
    <mergeCell ref="AH3:AH4"/>
    <mergeCell ref="AR3:AS3"/>
    <mergeCell ref="AT3:AT4"/>
    <mergeCell ref="AW3:AX3"/>
    <mergeCell ref="AY3:AZ3"/>
    <mergeCell ref="AR28:AS28"/>
    <mergeCell ref="AT28:AT29"/>
    <mergeCell ref="Y27:AC27"/>
    <mergeCell ref="AW28:AX28"/>
    <mergeCell ref="C27:F27"/>
    <mergeCell ref="H27:L27"/>
    <mergeCell ref="M27:M29"/>
    <mergeCell ref="N27:R27"/>
    <mergeCell ref="S27:W27"/>
    <mergeCell ref="X27:X29"/>
    <mergeCell ref="BA3:BA4"/>
    <mergeCell ref="AP28:AQ28"/>
    <mergeCell ref="A2:A4"/>
    <mergeCell ref="B2:B4"/>
    <mergeCell ref="C2:F2"/>
    <mergeCell ref="BN28:BO28"/>
    <mergeCell ref="H3:I3"/>
    <mergeCell ref="J3:K3"/>
    <mergeCell ref="L3:L4"/>
    <mergeCell ref="N3:O3"/>
    <mergeCell ref="AU2:AU4"/>
    <mergeCell ref="P3:Q3"/>
    <mergeCell ref="AP2:AT2"/>
    <mergeCell ref="Y3:Z3"/>
    <mergeCell ref="AA3:AB3"/>
    <mergeCell ref="Y2:AC2"/>
    <mergeCell ref="AK3:AL3"/>
    <mergeCell ref="AM3:AN3"/>
    <mergeCell ref="W3:W4"/>
    <mergeCell ref="H2:L2"/>
    <mergeCell ref="M2:M4"/>
    <mergeCell ref="N2:R2"/>
    <mergeCell ref="AJ2:AJ4"/>
    <mergeCell ref="AK2:AO2"/>
    <mergeCell ref="AO3:AO4"/>
    <mergeCell ref="AP3:AQ3"/>
    <mergeCell ref="C3:D3"/>
    <mergeCell ref="E3:F3"/>
    <mergeCell ref="AI2:AI4"/>
    <mergeCell ref="R3:R4"/>
    <mergeCell ref="S3:T3"/>
    <mergeCell ref="U3:V3"/>
    <mergeCell ref="E28:F28"/>
    <mergeCell ref="G28:G29"/>
    <mergeCell ref="H28:I28"/>
    <mergeCell ref="L28:L29"/>
    <mergeCell ref="N28:O28"/>
    <mergeCell ref="S28:T28"/>
    <mergeCell ref="U28:V28"/>
    <mergeCell ref="W28:W29"/>
    <mergeCell ref="J28:K28"/>
    <mergeCell ref="P28:Q28"/>
    <mergeCell ref="C28:D28"/>
    <mergeCell ref="S2:W2"/>
    <mergeCell ref="X2:X4"/>
    <mergeCell ref="AC3:AC4"/>
    <mergeCell ref="AD3:AE3"/>
    <mergeCell ref="AF3:AG3"/>
    <mergeCell ref="AD2:AH2"/>
    <mergeCell ref="G3:G4"/>
    <mergeCell ref="N1:X1"/>
    <mergeCell ref="AV2:AV4"/>
    <mergeCell ref="AW2:BA2"/>
    <mergeCell ref="BN2:BR2"/>
    <mergeCell ref="BB3:BC3"/>
    <mergeCell ref="BD3:BE3"/>
    <mergeCell ref="BB2:BF2"/>
    <mergeCell ref="BI3:BJ3"/>
    <mergeCell ref="BH2:BH4"/>
    <mergeCell ref="BK3:BM3"/>
    <mergeCell ref="BP3:BR3"/>
    <mergeCell ref="BI2:BM2"/>
    <mergeCell ref="BG2:BG4"/>
    <mergeCell ref="BF3:BF4"/>
    <mergeCell ref="BS3:BS4"/>
  </mergeCells>
  <printOptions horizontalCentered="1"/>
  <pageMargins left="0.19685039370078741" right="0.19685039370078741" top="0.6692913385826772" bottom="0.19685039370078741" header="0.39370078740157483" footer="0.51181102362204722"/>
  <pageSetup paperSize="9" orientation="landscape" useFirstPageNumber="1" horizontalDpi="4294967293" verticalDpi="4294967293" r:id="rId1"/>
  <headerFooter alignWithMargins="0">
    <oddHeader>&amp;C&amp;"-,Regular"&amp;12ANEXO II</oddHeader>
  </headerFooter>
  <rowBreaks count="1" manualBreakCount="1">
    <brk id="26" max="71" man="1"/>
  </rowBreaks>
  <colBreaks count="3" manualBreakCount="3">
    <brk id="13" max="53" man="1"/>
    <brk id="36" max="53" man="1"/>
    <brk id="59" max="5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workbookViewId="0"/>
  </sheetViews>
  <sheetFormatPr defaultColWidth="11.5703125" defaultRowHeight="12.75" x14ac:dyDescent="0.2"/>
  <sheetData/>
  <pageMargins left="0.78749999999999998" right="0.78749999999999998" top="1.0527777777777778" bottom="1.0527777777777778" header="0.78749999999999998" footer="0.78749999999999998"/>
  <pageSetup paperSize="9" firstPageNumber="0" orientation="portrait" horizontalDpi="300" verticalDpi="300" r:id="rId1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4</vt:i4>
      </vt:variant>
    </vt:vector>
  </HeadingPairs>
  <TitlesOfParts>
    <vt:vector size="7" baseType="lpstr">
      <vt:lpstr>Planilha1</vt:lpstr>
      <vt:lpstr>Planilha2</vt:lpstr>
      <vt:lpstr>Planilha3</vt:lpstr>
      <vt:lpstr>Planilha1!Area_de_impressao</vt:lpstr>
      <vt:lpstr>Excel_BuiltIn_Print_Area_1</vt:lpstr>
      <vt:lpstr>Excel_BuiltIn_Print_Titles_1_1</vt:lpstr>
      <vt:lpstr>Planilha1!Titulos_de_impressao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PMSM PM</dc:creator>
  <cp:lastModifiedBy>Nizeti</cp:lastModifiedBy>
  <cp:revision>1</cp:revision>
  <cp:lastPrinted>2021-07-16T15:01:39Z</cp:lastPrinted>
  <dcterms:created xsi:type="dcterms:W3CDTF">2007-05-23T16:50:29Z</dcterms:created>
  <dcterms:modified xsi:type="dcterms:W3CDTF">2021-07-16T15:37:09Z</dcterms:modified>
</cp:coreProperties>
</file>