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15480" windowHeight="7530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Planilha1!$A$1:$BS$57</definedName>
    <definedName name="Excel_BuiltIn_Print_Area_1">Planilha1!$A$1:$BS$56</definedName>
    <definedName name="Excel_BuiltIn_Print_Titles_1_1">Planilha1!$A:$A</definedName>
    <definedName name="_xlnm.Print_Titles" localSheetId="0">Planilha1!$A:$A</definedName>
  </definedNames>
  <calcPr calcId="145621"/>
</workbook>
</file>

<file path=xl/calcChain.xml><?xml version="1.0" encoding="utf-8"?>
<calcChain xmlns="http://schemas.openxmlformats.org/spreadsheetml/2006/main">
  <c r="BG43" i="1" l="1"/>
  <c r="AY47" i="1"/>
  <c r="AY46" i="1"/>
  <c r="AU46" i="1"/>
  <c r="BS47" i="1"/>
  <c r="BS46" i="1"/>
  <c r="BS56" i="1"/>
  <c r="BS57" i="1"/>
  <c r="BS55" i="1"/>
  <c r="BP46" i="1"/>
  <c r="AR34" i="1"/>
  <c r="AY33" i="1"/>
  <c r="BG56" i="1"/>
  <c r="BG55" i="1"/>
  <c r="AY56" i="1"/>
  <c r="AY55" i="1"/>
  <c r="AU37" i="1" l="1"/>
  <c r="AU36" i="1"/>
  <c r="AU34" i="1"/>
  <c r="AU33" i="1"/>
  <c r="AU48" i="1"/>
  <c r="AY43" i="1"/>
  <c r="AN48" i="1"/>
  <c r="AS48" i="1"/>
  <c r="AU38" i="1"/>
  <c r="AU44" i="1"/>
  <c r="AU43" i="1"/>
  <c r="AT33" i="1"/>
  <c r="AR33" i="1"/>
  <c r="AM34" i="1"/>
  <c r="AM33" i="1"/>
  <c r="AN37" i="1"/>
  <c r="AN36" i="1"/>
  <c r="AI37" i="1"/>
  <c r="AI33" i="1"/>
  <c r="AO34" i="1"/>
  <c r="AU54" i="1"/>
  <c r="AU53" i="1"/>
  <c r="AM36" i="1" l="1"/>
  <c r="AM37" i="1" s="1"/>
  <c r="AO33" i="1"/>
  <c r="F56" i="1"/>
  <c r="AU57" i="1"/>
  <c r="BP56" i="1"/>
  <c r="BP55" i="1"/>
  <c r="BK55" i="1"/>
  <c r="BG53" i="1"/>
  <c r="BD56" i="1"/>
  <c r="AY54" i="1"/>
  <c r="AY53" i="1"/>
  <c r="BA53" i="1"/>
  <c r="AU56" i="1"/>
  <c r="AU55" i="1"/>
  <c r="AU21" i="1"/>
  <c r="AU20" i="1"/>
  <c r="AU5" i="1"/>
  <c r="AW21" i="1"/>
  <c r="AW20" i="1"/>
  <c r="AW5" i="1"/>
  <c r="BN20" i="1"/>
  <c r="BN27" i="1" s="1"/>
  <c r="AP20" i="1"/>
  <c r="AP21" i="1"/>
  <c r="AK20" i="1"/>
  <c r="AP5" i="1"/>
  <c r="AM53" i="1"/>
  <c r="BA24" i="1"/>
  <c r="BA25" i="1"/>
  <c r="BA26" i="1"/>
  <c r="BG7" i="1"/>
  <c r="BG6" i="1"/>
  <c r="BF6" i="1"/>
  <c r="BG18" i="1"/>
  <c r="BG23" i="1"/>
  <c r="BS23" i="1"/>
  <c r="AY27" i="1"/>
  <c r="AY24" i="1"/>
  <c r="AY6" i="1"/>
  <c r="AU24" i="1"/>
  <c r="AU25" i="1"/>
  <c r="AU26" i="1"/>
  <c r="AU23" i="1"/>
  <c r="AT24" i="1"/>
  <c r="AT25" i="1"/>
  <c r="AY25" i="1" s="1"/>
  <c r="AT26" i="1"/>
  <c r="AY26" i="1" s="1"/>
  <c r="AT23" i="1"/>
  <c r="AT6" i="1"/>
  <c r="AY23" i="1"/>
  <c r="AY22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U22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6" i="1"/>
  <c r="AR26" i="1"/>
  <c r="AR25" i="1"/>
  <c r="AR24" i="1"/>
  <c r="AR22" i="1"/>
  <c r="AR19" i="1"/>
  <c r="AR17" i="1"/>
  <c r="AR16" i="1"/>
  <c r="AR15" i="1"/>
  <c r="AR14" i="1"/>
  <c r="AR13" i="1"/>
  <c r="AR12" i="1"/>
  <c r="AR11" i="1"/>
  <c r="AR10" i="1"/>
  <c r="AR8" i="1"/>
  <c r="AR7" i="1"/>
  <c r="AR6" i="1"/>
  <c r="AO24" i="1"/>
  <c r="AO22" i="1"/>
  <c r="B27" i="1"/>
  <c r="AO25" i="1"/>
  <c r="AO26" i="1"/>
  <c r="AR23" i="1"/>
  <c r="AR18" i="1"/>
  <c r="BP15" i="1"/>
  <c r="AM15" i="1"/>
  <c r="AR9" i="1"/>
  <c r="BG24" i="1"/>
  <c r="BS24" i="1" s="1"/>
  <c r="BG25" i="1"/>
  <c r="BS25" i="1" s="1"/>
  <c r="BG26" i="1"/>
  <c r="BS26" i="1" s="1"/>
  <c r="AN27" i="1"/>
  <c r="AQ27" i="1"/>
  <c r="AS27" i="1"/>
  <c r="AX27" i="1"/>
  <c r="AZ27" i="1"/>
  <c r="BB27" i="1"/>
  <c r="BC27" i="1"/>
  <c r="BD27" i="1"/>
  <c r="BE27" i="1"/>
  <c r="BF27" i="1"/>
  <c r="BH27" i="1"/>
  <c r="BI27" i="1"/>
  <c r="BJ27" i="1"/>
  <c r="BK27" i="1"/>
  <c r="BL27" i="1"/>
  <c r="BM27" i="1"/>
  <c r="BO27" i="1"/>
  <c r="BP27" i="1"/>
  <c r="BQ27" i="1"/>
  <c r="BR27" i="1"/>
  <c r="AM27" i="1"/>
  <c r="AW27" i="1" l="1"/>
  <c r="AT22" i="1"/>
  <c r="AR27" i="1"/>
  <c r="AI46" i="1"/>
  <c r="AI44" i="1"/>
  <c r="AI43" i="1"/>
  <c r="AB46" i="1"/>
  <c r="AI48" i="1"/>
  <c r="AI57" i="1"/>
  <c r="AG48" i="1"/>
  <c r="F37" i="1" l="1"/>
  <c r="AI38" i="1"/>
  <c r="AG37" i="1"/>
  <c r="AA34" i="1"/>
  <c r="AI34" i="1"/>
  <c r="AF33" i="1"/>
  <c r="AC33" i="1"/>
  <c r="AH33" i="1"/>
  <c r="AB37" i="1"/>
  <c r="AB36" i="1"/>
  <c r="AI55" i="1"/>
  <c r="AI54" i="1"/>
  <c r="AI21" i="1"/>
  <c r="AI20" i="1"/>
  <c r="AI5" i="1"/>
  <c r="AK5" i="1"/>
  <c r="AD5" i="1"/>
  <c r="BN5" i="1"/>
  <c r="Y5" i="1"/>
  <c r="AI53" i="1"/>
  <c r="AF53" i="1"/>
  <c r="AA53" i="1"/>
  <c r="AI6" i="1"/>
  <c r="AI7" i="1"/>
  <c r="AI23" i="1"/>
  <c r="AI2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F6" i="1"/>
  <c r="AA6" i="1"/>
  <c r="X57" i="1" l="1"/>
  <c r="X48" i="1"/>
  <c r="X38" i="1"/>
  <c r="X44" i="1"/>
  <c r="X43" i="1"/>
  <c r="R43" i="1"/>
  <c r="J34" i="1"/>
  <c r="U34" i="1"/>
  <c r="P34" i="1"/>
  <c r="X34" i="1"/>
  <c r="AA33" i="1"/>
  <c r="X33" i="1"/>
  <c r="U33" i="1"/>
  <c r="V37" i="1"/>
  <c r="Q37" i="1"/>
  <c r="X36" i="1"/>
  <c r="X37" i="1" s="1"/>
  <c r="V36" i="1"/>
  <c r="P36" i="1"/>
  <c r="P37" i="1" s="1"/>
  <c r="Q36" i="1"/>
  <c r="M38" i="1"/>
  <c r="P53" i="1"/>
  <c r="X55" i="1"/>
  <c r="X54" i="1"/>
  <c r="X53" i="1"/>
  <c r="V55" i="1"/>
  <c r="Q55" i="1"/>
  <c r="X21" i="1"/>
  <c r="X20" i="1"/>
  <c r="X5" i="1"/>
  <c r="S5" i="1"/>
  <c r="T27" i="1"/>
  <c r="S21" i="1"/>
  <c r="S20" i="1"/>
  <c r="U6" i="1"/>
  <c r="W6" i="1" s="1"/>
  <c r="X18" i="1"/>
  <c r="X6" i="1"/>
  <c r="X23" i="1"/>
  <c r="X22" i="1"/>
  <c r="X7" i="1"/>
  <c r="X8" i="1"/>
  <c r="X9" i="1"/>
  <c r="X10" i="1"/>
  <c r="X11" i="1"/>
  <c r="X12" i="1"/>
  <c r="X13" i="1"/>
  <c r="X14" i="1"/>
  <c r="X15" i="1"/>
  <c r="X16" i="1"/>
  <c r="X17" i="1"/>
  <c r="X19" i="1"/>
  <c r="BP11" i="1"/>
  <c r="M11" i="1"/>
  <c r="R6" i="1" l="1"/>
  <c r="P6" i="1"/>
  <c r="BD17" i="1" l="1"/>
  <c r="P43" i="1" l="1"/>
  <c r="M48" i="1"/>
  <c r="M34" i="1"/>
  <c r="E34" i="1"/>
  <c r="E44" i="1" l="1"/>
  <c r="E46" i="1" s="1"/>
  <c r="M46" i="1"/>
  <c r="M44" i="1"/>
  <c r="M43" i="1"/>
  <c r="P33" i="1"/>
  <c r="J33" i="1"/>
  <c r="J36" i="1" s="1"/>
  <c r="J37" i="1" s="1"/>
  <c r="M37" i="1"/>
  <c r="M36" i="1"/>
  <c r="M33" i="1"/>
  <c r="K37" i="1"/>
  <c r="K36" i="1"/>
  <c r="F36" i="1"/>
  <c r="E36" i="1"/>
  <c r="M57" i="1" l="1"/>
  <c r="M55" i="1"/>
  <c r="M54" i="1"/>
  <c r="M53" i="1"/>
  <c r="J53" i="1"/>
  <c r="L53" i="1" s="1"/>
  <c r="E53" i="1"/>
  <c r="E55" i="1" s="1"/>
  <c r="F55" i="1"/>
  <c r="G54" i="1"/>
  <c r="M28" i="1"/>
  <c r="M21" i="1"/>
  <c r="N21" i="1"/>
  <c r="H21" i="1"/>
  <c r="C21" i="1"/>
  <c r="BN21" i="1"/>
  <c r="N20" i="1"/>
  <c r="M20" i="1"/>
  <c r="H20" i="1"/>
  <c r="C20" i="1"/>
  <c r="N5" i="1"/>
  <c r="M5" i="1"/>
  <c r="H5" i="1"/>
  <c r="C5" i="1"/>
  <c r="M23" i="1"/>
  <c r="M22" i="1"/>
  <c r="M7" i="1"/>
  <c r="M8" i="1"/>
  <c r="M9" i="1"/>
  <c r="M10" i="1"/>
  <c r="M12" i="1"/>
  <c r="M13" i="1"/>
  <c r="M14" i="1"/>
  <c r="M15" i="1"/>
  <c r="M16" i="1"/>
  <c r="M17" i="1"/>
  <c r="M18" i="1"/>
  <c r="M19" i="1"/>
  <c r="M6" i="1"/>
  <c r="J6" i="1"/>
  <c r="E14" i="1"/>
  <c r="E23" i="1"/>
  <c r="E22" i="1"/>
  <c r="E19" i="1"/>
  <c r="E18" i="1"/>
  <c r="E17" i="1"/>
  <c r="E16" i="1"/>
  <c r="E15" i="1"/>
  <c r="E13" i="1"/>
  <c r="E12" i="1"/>
  <c r="E11" i="1"/>
  <c r="E10" i="1"/>
  <c r="E8" i="1"/>
  <c r="E7" i="1"/>
  <c r="E6" i="1"/>
  <c r="B43" i="1" l="1"/>
  <c r="E43" i="1"/>
  <c r="B34" i="1"/>
  <c r="BG33" i="1"/>
  <c r="BS33" i="1" s="1"/>
  <c r="BG21" i="1" l="1"/>
  <c r="BG20" i="1"/>
  <c r="BA5" i="1"/>
  <c r="BA6" i="1"/>
  <c r="X27" i="1" l="1"/>
  <c r="Q48" i="1"/>
  <c r="Q43" i="1"/>
  <c r="E39" i="1"/>
  <c r="BF33" i="1" l="1"/>
  <c r="AN43" i="1" l="1"/>
  <c r="AS43" i="1"/>
  <c r="G21" i="1" l="1"/>
  <c r="L21" i="1" s="1"/>
  <c r="R21" i="1" s="1"/>
  <c r="W21" i="1" s="1"/>
  <c r="G20" i="1"/>
  <c r="L20" i="1" s="1"/>
  <c r="R20" i="1" s="1"/>
  <c r="W20" i="1" s="1"/>
  <c r="G5" i="1"/>
  <c r="Y20" i="1" l="1"/>
  <c r="AC20" i="1" s="1"/>
  <c r="Y21" i="1"/>
  <c r="AC21" i="1" s="1"/>
  <c r="G53" i="1"/>
  <c r="BT23" i="1"/>
  <c r="G6" i="1"/>
  <c r="AD21" i="1" l="1"/>
  <c r="AH21" i="1" s="1"/>
  <c r="AD20" i="1"/>
  <c r="AH20" i="1" s="1"/>
  <c r="B35" i="1"/>
  <c r="BS35" i="1" s="1"/>
  <c r="D27" i="1"/>
  <c r="D34" i="1" s="1"/>
  <c r="E27" i="1"/>
  <c r="F27" i="1"/>
  <c r="H27" i="1"/>
  <c r="I27" i="1"/>
  <c r="K27" i="1"/>
  <c r="O27" i="1"/>
  <c r="Q27" i="1"/>
  <c r="V27" i="1"/>
  <c r="Z27" i="1"/>
  <c r="AB27" i="1"/>
  <c r="AE27" i="1"/>
  <c r="AG27" i="1"/>
  <c r="AL27" i="1"/>
  <c r="AZ44" i="1"/>
  <c r="C27" i="1"/>
  <c r="G23" i="1"/>
  <c r="AK21" i="1" l="1"/>
  <c r="J23" i="1"/>
  <c r="L23" i="1" s="1"/>
  <c r="B37" i="1"/>
  <c r="P23" i="1" l="1"/>
  <c r="R23" i="1" s="1"/>
  <c r="U23" i="1" s="1"/>
  <c r="W23" i="1" s="1"/>
  <c r="AO21" i="1"/>
  <c r="AT21" i="1" s="1"/>
  <c r="BA21" i="1" s="1"/>
  <c r="BF21" i="1" s="1"/>
  <c r="AO20" i="1"/>
  <c r="J38" i="1"/>
  <c r="P38" i="1" s="1"/>
  <c r="BS38" i="1"/>
  <c r="B48" i="1"/>
  <c r="AT20" i="1" l="1"/>
  <c r="BA20" i="1" s="1"/>
  <c r="BF20" i="1" s="1"/>
  <c r="AC23" i="1"/>
  <c r="AF23" i="1" s="1"/>
  <c r="AH23" i="1" s="1"/>
  <c r="AA23" i="1"/>
  <c r="BS21" i="1"/>
  <c r="AP27" i="1" l="1"/>
  <c r="BS20" i="1"/>
  <c r="AO23" i="1"/>
  <c r="BA23" i="1" s="1"/>
  <c r="AM23" i="1"/>
  <c r="G8" i="1"/>
  <c r="J8" i="1" s="1"/>
  <c r="BF23" i="1" l="1"/>
  <c r="BA38" i="1"/>
  <c r="BD38" i="1"/>
  <c r="BF38" i="1"/>
  <c r="BK38" i="1" s="1"/>
  <c r="AI28" i="1" l="1"/>
  <c r="AT28" i="1"/>
  <c r="BU23" i="1" l="1"/>
  <c r="G33" i="1"/>
  <c r="L33" i="1" s="1"/>
  <c r="T34" i="1" l="1"/>
  <c r="BP54" i="1"/>
  <c r="D54" i="1"/>
  <c r="E54" i="1"/>
  <c r="F54" i="1"/>
  <c r="B54" i="1"/>
  <c r="B44" i="1" s="1"/>
  <c r="B45" i="1" l="1"/>
  <c r="BS45" i="1" s="1"/>
  <c r="B47" i="1"/>
  <c r="B56" i="1"/>
  <c r="C34" i="1"/>
  <c r="C54" i="1"/>
  <c r="BS48" i="1"/>
  <c r="K44" i="1"/>
  <c r="K54" i="1"/>
  <c r="I54" i="1"/>
  <c r="I34" i="1"/>
  <c r="K56" i="1" l="1"/>
  <c r="Q56" i="1" s="1"/>
  <c r="V56" i="1" s="1"/>
  <c r="AB56" i="1" s="1"/>
  <c r="AG56" i="1" s="1"/>
  <c r="M56" i="1"/>
  <c r="X56" i="1" s="1"/>
  <c r="AI56" i="1" s="1"/>
  <c r="E56" i="1"/>
  <c r="M47" i="1"/>
  <c r="X47" i="1" s="1"/>
  <c r="AI47" i="1" s="1"/>
  <c r="F47" i="1"/>
  <c r="E47" i="1"/>
  <c r="E37" i="1"/>
  <c r="K55" i="1"/>
  <c r="G34" i="1"/>
  <c r="BF28" i="1"/>
  <c r="BA28" i="1"/>
  <c r="AU28" i="1"/>
  <c r="AO28" i="1"/>
  <c r="X28" i="1"/>
  <c r="BG28" i="1" l="1"/>
  <c r="R33" i="1" l="1"/>
  <c r="F48" i="1"/>
  <c r="G7" i="1"/>
  <c r="J7" i="1" s="1"/>
  <c r="G15" i="1"/>
  <c r="J15" i="1" s="1"/>
  <c r="G22" i="1"/>
  <c r="J22" i="1" s="1"/>
  <c r="G19" i="1"/>
  <c r="G18" i="1"/>
  <c r="J18" i="1" s="1"/>
  <c r="G17" i="1"/>
  <c r="J17" i="1" s="1"/>
  <c r="G16" i="1"/>
  <c r="J16" i="1" s="1"/>
  <c r="G14" i="1"/>
  <c r="G13" i="1"/>
  <c r="J13" i="1" s="1"/>
  <c r="G12" i="1"/>
  <c r="J12" i="1" s="1"/>
  <c r="G11" i="1"/>
  <c r="J11" i="1" s="1"/>
  <c r="G10" i="1"/>
  <c r="J10" i="1" s="1"/>
  <c r="G9" i="1"/>
  <c r="J9" i="1" s="1"/>
  <c r="AG43" i="1"/>
  <c r="BT54" i="1"/>
  <c r="BQ54" i="1"/>
  <c r="BQ56" i="1" s="1"/>
  <c r="BO54" i="1"/>
  <c r="BL54" i="1"/>
  <c r="BJ54" i="1"/>
  <c r="BT53" i="1"/>
  <c r="BR53" i="1"/>
  <c r="BQ47" i="1"/>
  <c r="BL47" i="1"/>
  <c r="BU44" i="1"/>
  <c r="BT44" i="1"/>
  <c r="BR44" i="1"/>
  <c r="BR47" i="1" s="1"/>
  <c r="BM44" i="1"/>
  <c r="BM47" i="1" s="1"/>
  <c r="BE48" i="1"/>
  <c r="AZ48" i="1"/>
  <c r="AB48" i="1"/>
  <c r="V48" i="1"/>
  <c r="K48" i="1"/>
  <c r="BP43" i="1"/>
  <c r="BE43" i="1"/>
  <c r="AZ43" i="1"/>
  <c r="AB43" i="1"/>
  <c r="K43" i="1"/>
  <c r="K46" i="1" s="1"/>
  <c r="F43" i="1"/>
  <c r="BQ37" i="1"/>
  <c r="BL37" i="1"/>
  <c r="V43" i="1"/>
  <c r="BT5" i="1"/>
  <c r="BT6" i="1"/>
  <c r="BT18" i="1"/>
  <c r="BT19" i="1"/>
  <c r="BT20" i="1"/>
  <c r="BT22" i="1"/>
  <c r="BT33" i="1"/>
  <c r="BS28" i="1"/>
  <c r="J43" i="1"/>
  <c r="M27" i="1" l="1"/>
  <c r="J14" i="1"/>
  <c r="J19" i="1"/>
  <c r="J27" i="1" s="1"/>
  <c r="J54" i="1" s="1"/>
  <c r="J55" i="1" s="1"/>
  <c r="J56" i="1" s="1"/>
  <c r="J48" i="1"/>
  <c r="P48" i="1" s="1"/>
  <c r="G27" i="1"/>
  <c r="BT27" i="1"/>
  <c r="L11" i="1"/>
  <c r="P11" i="1" s="1"/>
  <c r="R11" i="1" s="1"/>
  <c r="U11" i="1" s="1"/>
  <c r="W11" i="1" s="1"/>
  <c r="AA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27" i="1" s="1"/>
  <c r="G43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L9" i="1"/>
  <c r="P9" i="1" s="1"/>
  <c r="AJ57" i="1"/>
  <c r="AV57" i="1" s="1"/>
  <c r="AJ33" i="1"/>
  <c r="AV33" i="1" s="1"/>
  <c r="BT43" i="1"/>
  <c r="BT47" i="1" s="1"/>
  <c r="BT56" i="1"/>
  <c r="L19" i="1" l="1"/>
  <c r="P19" i="1" s="1"/>
  <c r="P27" i="1"/>
  <c r="P54" i="1" s="1"/>
  <c r="J44" i="1"/>
  <c r="H54" i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22" i="1"/>
  <c r="U22" i="1" s="1"/>
  <c r="R16" i="1"/>
  <c r="U16" i="1" s="1"/>
  <c r="R14" i="1"/>
  <c r="U14" i="1" s="1"/>
  <c r="R13" i="1"/>
  <c r="U13" i="1" s="1"/>
  <c r="R53" i="1"/>
  <c r="W33" i="1"/>
  <c r="L43" i="1"/>
  <c r="AJ48" i="1"/>
  <c r="AV48" i="1" s="1"/>
  <c r="R9" i="1"/>
  <c r="U9" i="1" s="1"/>
  <c r="AJ28" i="1"/>
  <c r="AV28" i="1" s="1"/>
  <c r="BH33" i="1"/>
  <c r="P55" i="1" l="1"/>
  <c r="P56" i="1" s="1"/>
  <c r="P44" i="1"/>
  <c r="P46" i="1" s="1"/>
  <c r="U53" i="1"/>
  <c r="J46" i="1"/>
  <c r="H34" i="1"/>
  <c r="L54" i="1"/>
  <c r="W16" i="1"/>
  <c r="AA16" i="1" s="1"/>
  <c r="W10" i="1"/>
  <c r="AA10" i="1" s="1"/>
  <c r="W22" i="1"/>
  <c r="AA22" i="1" s="1"/>
  <c r="W7" i="1"/>
  <c r="AA7" i="1" s="1"/>
  <c r="W13" i="1"/>
  <c r="AA13" i="1" s="1"/>
  <c r="W14" i="1"/>
  <c r="AA14" i="1" s="1"/>
  <c r="W17" i="1"/>
  <c r="AA17" i="1" s="1"/>
  <c r="W19" i="1"/>
  <c r="AA19" i="1" s="1"/>
  <c r="W15" i="1"/>
  <c r="AA15" i="1" s="1"/>
  <c r="W12" i="1"/>
  <c r="AA12" i="1" s="1"/>
  <c r="W18" i="1"/>
  <c r="AA18" i="1" s="1"/>
  <c r="W8" i="1"/>
  <c r="AA8" i="1" s="1"/>
  <c r="N54" i="1"/>
  <c r="W9" i="1"/>
  <c r="AA9" i="1" s="1"/>
  <c r="L6" i="1"/>
  <c r="R5" i="1"/>
  <c r="W53" i="1"/>
  <c r="U43" i="1"/>
  <c r="W43" i="1" l="1"/>
  <c r="L34" i="1"/>
  <c r="J47" i="1"/>
  <c r="AC53" i="1"/>
  <c r="AH53" i="1" s="1"/>
  <c r="L27" i="1"/>
  <c r="S27" i="1"/>
  <c r="L44" i="1"/>
  <c r="AC9" i="1"/>
  <c r="AC7" i="1"/>
  <c r="AF7" i="1" s="1"/>
  <c r="BA57" i="1"/>
  <c r="BH48" i="1"/>
  <c r="AF9" i="1" l="1"/>
  <c r="AA43" i="1"/>
  <c r="AH7" i="1"/>
  <c r="AH9" i="1"/>
  <c r="R27" i="1"/>
  <c r="BF57" i="1"/>
  <c r="AO53" i="1"/>
  <c r="AR53" i="1" s="1"/>
  <c r="AJ21" i="1"/>
  <c r="AC16" i="1"/>
  <c r="AF16" i="1" s="1"/>
  <c r="AC14" i="1"/>
  <c r="AF14" i="1" s="1"/>
  <c r="AC18" i="1"/>
  <c r="AF18" i="1" s="1"/>
  <c r="AC13" i="1"/>
  <c r="AC15" i="1"/>
  <c r="AC22" i="1"/>
  <c r="AJ18" i="1"/>
  <c r="AJ20" i="1"/>
  <c r="AJ9" i="1"/>
  <c r="AC19" i="1"/>
  <c r="AC12" i="1"/>
  <c r="AC10" i="1"/>
  <c r="AC11" i="1"/>
  <c r="AC8" i="1"/>
  <c r="AC17" i="1"/>
  <c r="AJ53" i="1"/>
  <c r="W5" i="1"/>
  <c r="Y27" i="1" s="1"/>
  <c r="BU57" i="1"/>
  <c r="BH57" i="1"/>
  <c r="AF43" i="1"/>
  <c r="AF13" i="1" l="1"/>
  <c r="AF17" i="1"/>
  <c r="AF12" i="1"/>
  <c r="AO9" i="1"/>
  <c r="AM9" i="1"/>
  <c r="AF8" i="1"/>
  <c r="AF19" i="1"/>
  <c r="AF22" i="1"/>
  <c r="AM7" i="1"/>
  <c r="AF10" i="1"/>
  <c r="AH10" i="1" s="1"/>
  <c r="AM10" i="1" s="1"/>
  <c r="AF11" i="1"/>
  <c r="AV9" i="1"/>
  <c r="AF15" i="1"/>
  <c r="AJ16" i="1"/>
  <c r="AJ15" i="1"/>
  <c r="AJ22" i="1"/>
  <c r="AJ19" i="1"/>
  <c r="AJ13" i="1"/>
  <c r="AJ11" i="1"/>
  <c r="AC43" i="1"/>
  <c r="AT53" i="1"/>
  <c r="BS53" i="1" s="1"/>
  <c r="U27" i="1"/>
  <c r="AH43" i="1"/>
  <c r="BU33" i="1"/>
  <c r="BU37" i="1" s="1"/>
  <c r="AM43" i="1"/>
  <c r="AM48" i="1"/>
  <c r="AR48" i="1" s="1"/>
  <c r="BA48" i="1" s="1"/>
  <c r="BF48" i="1" s="1"/>
  <c r="AH22" i="1"/>
  <c r="AM22" i="1" s="1"/>
  <c r="AH19" i="1"/>
  <c r="AM19" i="1" s="1"/>
  <c r="AH18" i="1"/>
  <c r="AM18" i="1" s="1"/>
  <c r="AH17" i="1"/>
  <c r="AM17" i="1" s="1"/>
  <c r="AH16" i="1"/>
  <c r="AM16" i="1" s="1"/>
  <c r="AH15" i="1"/>
  <c r="AH14" i="1"/>
  <c r="AM14" i="1" s="1"/>
  <c r="AH13" i="1"/>
  <c r="AM13" i="1" s="1"/>
  <c r="AH12" i="1"/>
  <c r="AM12" i="1" s="1"/>
  <c r="AH11" i="1"/>
  <c r="AM11" i="1" s="1"/>
  <c r="AT9" i="1"/>
  <c r="AH8" i="1"/>
  <c r="AM8" i="1" s="1"/>
  <c r="BA7" i="1"/>
  <c r="AV53" i="1"/>
  <c r="AV15" i="1"/>
  <c r="AJ43" i="1"/>
  <c r="AJ5" i="1"/>
  <c r="AV16" i="1" l="1"/>
  <c r="AV19" i="1"/>
  <c r="AV22" i="1"/>
  <c r="AO7" i="1"/>
  <c r="AT7" i="1" s="1"/>
  <c r="AO43" i="1"/>
  <c r="AO8" i="1"/>
  <c r="AT8" i="1" s="1"/>
  <c r="AO17" i="1"/>
  <c r="AT17" i="1" s="1"/>
  <c r="W27" i="1"/>
  <c r="AR43" i="1"/>
  <c r="AT43" i="1" s="1"/>
  <c r="BD43" i="1"/>
  <c r="AY48" i="1"/>
  <c r="AO19" i="1"/>
  <c r="AO16" i="1"/>
  <c r="AO14" i="1"/>
  <c r="BA9" i="1"/>
  <c r="BF7" i="1"/>
  <c r="BS7" i="1" s="1"/>
  <c r="AV21" i="1"/>
  <c r="AV18" i="1"/>
  <c r="AO18" i="1"/>
  <c r="AO15" i="1"/>
  <c r="AV20" i="1"/>
  <c r="AV13" i="1"/>
  <c r="AO13" i="1"/>
  <c r="AO12" i="1"/>
  <c r="AV11" i="1"/>
  <c r="AO11" i="1"/>
  <c r="AO10" i="1"/>
  <c r="AC5" i="1"/>
  <c r="AD27" i="1" s="1"/>
  <c r="BF53" i="1" l="1"/>
  <c r="BK43" i="1"/>
  <c r="BF9" i="1"/>
  <c r="AC6" i="1"/>
  <c r="AA27" i="1"/>
  <c r="AA54" i="1" s="1"/>
  <c r="AJ27" i="1"/>
  <c r="AT19" i="1"/>
  <c r="AT18" i="1"/>
  <c r="BA17" i="1"/>
  <c r="AT16" i="1"/>
  <c r="AT15" i="1"/>
  <c r="BA15" i="1" s="1"/>
  <c r="AT14" i="1"/>
  <c r="AT13" i="1"/>
  <c r="AT12" i="1"/>
  <c r="AT11" i="1"/>
  <c r="AT10" i="1"/>
  <c r="BA8" i="1"/>
  <c r="AV43" i="1"/>
  <c r="BG9" i="1" l="1"/>
  <c r="BS9" i="1" s="1"/>
  <c r="BA19" i="1"/>
  <c r="BF19" i="1" s="1"/>
  <c r="BG19" i="1" s="1"/>
  <c r="BS19" i="1" s="1"/>
  <c r="BA16" i="1"/>
  <c r="BF16" i="1" s="1"/>
  <c r="BG16" i="1" s="1"/>
  <c r="BS16" i="1" s="1"/>
  <c r="BF17" i="1"/>
  <c r="BA10" i="1"/>
  <c r="BF10" i="1" s="1"/>
  <c r="BG10" i="1" s="1"/>
  <c r="BS10" i="1" s="1"/>
  <c r="BA14" i="1"/>
  <c r="BF14" i="1" s="1"/>
  <c r="BG14" i="1" s="1"/>
  <c r="BS14" i="1" s="1"/>
  <c r="AC27" i="1"/>
  <c r="BA33" i="1"/>
  <c r="BA22" i="1"/>
  <c r="BA18" i="1"/>
  <c r="BF15" i="1"/>
  <c r="BG15" i="1" s="1"/>
  <c r="BS15" i="1" s="1"/>
  <c r="BA13" i="1"/>
  <c r="BA12" i="1"/>
  <c r="BA11" i="1"/>
  <c r="BF8" i="1"/>
  <c r="BG8" i="1" s="1"/>
  <c r="BS8" i="1" s="1"/>
  <c r="AH6" i="1"/>
  <c r="BF43" i="1"/>
  <c r="AH5" i="1"/>
  <c r="BH53" i="1"/>
  <c r="BA43" i="1" l="1"/>
  <c r="BS43" i="1"/>
  <c r="BA27" i="1"/>
  <c r="AM54" i="1"/>
  <c r="AM6" i="1"/>
  <c r="AU27" i="1" s="1"/>
  <c r="AI27" i="1"/>
  <c r="AJ6" i="1"/>
  <c r="AF27" i="1"/>
  <c r="AF54" i="1" s="1"/>
  <c r="BG17" i="1"/>
  <c r="BS17" i="1" s="1"/>
  <c r="BF11" i="1"/>
  <c r="AH27" i="1"/>
  <c r="AK27" i="1"/>
  <c r="BU19" i="1"/>
  <c r="BF22" i="1"/>
  <c r="BG22" i="1" s="1"/>
  <c r="BS22" i="1" s="1"/>
  <c r="BF18" i="1"/>
  <c r="BS18" i="1" s="1"/>
  <c r="BF13" i="1"/>
  <c r="BG13" i="1" s="1"/>
  <c r="BS13" i="1" s="1"/>
  <c r="BF12" i="1"/>
  <c r="BG12" i="1" s="1"/>
  <c r="BS12" i="1" s="1"/>
  <c r="BM53" i="1"/>
  <c r="BU53" i="1"/>
  <c r="BH43" i="1" l="1"/>
  <c r="AV6" i="1"/>
  <c r="BG11" i="1"/>
  <c r="BS11" i="1" s="1"/>
  <c r="BU18" i="1"/>
  <c r="BU20" i="1"/>
  <c r="AO6" i="1"/>
  <c r="AO5" i="1"/>
  <c r="AO27" i="1" s="1"/>
  <c r="AK54" i="1"/>
  <c r="BU43" i="1"/>
  <c r="BU47" i="1" s="1"/>
  <c r="V54" i="1"/>
  <c r="BT34" i="1"/>
  <c r="BE54" i="1"/>
  <c r="T54" i="1"/>
  <c r="BM34" i="1"/>
  <c r="BM37" i="1" s="1"/>
  <c r="AS54" i="1"/>
  <c r="AS44" i="1" s="1"/>
  <c r="AS46" i="1" s="1"/>
  <c r="AD54" i="1"/>
  <c r="AF55" i="1" s="1"/>
  <c r="AF56" i="1" s="1"/>
  <c r="Q54" i="1"/>
  <c r="AQ54" i="1"/>
  <c r="AS55" i="1" s="1"/>
  <c r="BN54" i="1"/>
  <c r="AZ54" i="1"/>
  <c r="BC54" i="1"/>
  <c r="BE55" i="1" s="1"/>
  <c r="O54" i="1"/>
  <c r="BE44" i="1"/>
  <c r="F44" i="1"/>
  <c r="AN54" i="1"/>
  <c r="N34" i="1"/>
  <c r="BR34" i="1"/>
  <c r="BR37" i="1" s="1"/>
  <c r="AX54" i="1"/>
  <c r="Q44" i="1"/>
  <c r="S54" i="1"/>
  <c r="AB54" i="1"/>
  <c r="AB44" i="1" s="1"/>
  <c r="V44" i="1"/>
  <c r="V46" i="1" s="1"/>
  <c r="Z54" i="1"/>
  <c r="AE54" i="1"/>
  <c r="BP44" i="1"/>
  <c r="AG54" i="1"/>
  <c r="AL54" i="1"/>
  <c r="Y54" i="1"/>
  <c r="AA55" i="1" s="1"/>
  <c r="AA56" i="1" s="1"/>
  <c r="AM55" i="1" l="1"/>
  <c r="AM56" i="1" s="1"/>
  <c r="BE46" i="1"/>
  <c r="AZ55" i="1"/>
  <c r="AQ34" i="1"/>
  <c r="AS36" i="1" s="1"/>
  <c r="AL34" i="1"/>
  <c r="AN55" i="1"/>
  <c r="Q46" i="1"/>
  <c r="F46" i="1"/>
  <c r="G44" i="1"/>
  <c r="AG55" i="1"/>
  <c r="AC54" i="1"/>
  <c r="AB55" i="1"/>
  <c r="O34" i="1"/>
  <c r="BN34" i="1"/>
  <c r="BP36" i="1" s="1"/>
  <c r="AK34" i="1"/>
  <c r="R34" i="1"/>
  <c r="BU22" i="1"/>
  <c r="AN44" i="1"/>
  <c r="AG44" i="1"/>
  <c r="AG46" i="1" s="1"/>
  <c r="R54" i="1"/>
  <c r="BC34" i="1"/>
  <c r="BR54" i="1"/>
  <c r="BR56" i="1" s="1"/>
  <c r="AE34" i="1"/>
  <c r="AG36" i="1" s="1"/>
  <c r="Z34" i="1"/>
  <c r="Y34" i="1"/>
  <c r="AD34" i="1"/>
  <c r="AH54" i="1"/>
  <c r="AO54" i="1"/>
  <c r="S34" i="1"/>
  <c r="U36" i="1" s="1"/>
  <c r="U37" i="1" s="1"/>
  <c r="AX34" i="1"/>
  <c r="AZ36" i="1" s="1"/>
  <c r="AZ46" i="1" l="1"/>
  <c r="AA36" i="1"/>
  <c r="AA37" i="1" s="1"/>
  <c r="AC34" i="1"/>
  <c r="AF34" i="1" s="1"/>
  <c r="AF36" i="1"/>
  <c r="AF37" i="1" s="1"/>
  <c r="AI36" i="1"/>
  <c r="BE36" i="1"/>
  <c r="AN46" i="1"/>
  <c r="AN56" i="1"/>
  <c r="K47" i="1"/>
  <c r="P47" i="1" s="1"/>
  <c r="AV5" i="1"/>
  <c r="AV27" i="1" s="1"/>
  <c r="W34" i="1"/>
  <c r="AR54" i="1"/>
  <c r="AT5" i="1"/>
  <c r="AT27" i="1" s="1"/>
  <c r="AP54" i="1"/>
  <c r="AR55" i="1" s="1"/>
  <c r="AS56" i="1" l="1"/>
  <c r="AZ56" i="1" s="1"/>
  <c r="BE56" i="1" s="1"/>
  <c r="AR56" i="1"/>
  <c r="AS37" i="1"/>
  <c r="AZ37" i="1" s="1"/>
  <c r="BE37" i="1" s="1"/>
  <c r="Q47" i="1"/>
  <c r="V47" i="1" s="1"/>
  <c r="AP34" i="1"/>
  <c r="AR36" i="1" s="1"/>
  <c r="AT54" i="1"/>
  <c r="AJ34" i="1"/>
  <c r="AB47" i="1" l="1"/>
  <c r="AG47" i="1" s="1"/>
  <c r="AN47" i="1" s="1"/>
  <c r="AS47" i="1" s="1"/>
  <c r="AZ47" i="1" s="1"/>
  <c r="BE47" i="1" s="1"/>
  <c r="AA44" i="1"/>
  <c r="AW54" i="1"/>
  <c r="U44" i="1"/>
  <c r="U54" i="1" s="1"/>
  <c r="U55" i="1" s="1"/>
  <c r="U56" i="1" s="1"/>
  <c r="AJ37" i="1"/>
  <c r="AA46" i="1" l="1"/>
  <c r="AA47" i="1" s="1"/>
  <c r="X46" i="1"/>
  <c r="U46" i="1"/>
  <c r="U47" i="1" s="1"/>
  <c r="AC44" i="1"/>
  <c r="AH34" i="1"/>
  <c r="R44" i="1"/>
  <c r="AW34" i="1"/>
  <c r="BA54" i="1"/>
  <c r="W44" i="1"/>
  <c r="AR37" i="1" l="1"/>
  <c r="BB54" i="1"/>
  <c r="BB34" i="1" s="1"/>
  <c r="BD36" i="1" s="1"/>
  <c r="BG5" i="1"/>
  <c r="W54" i="1"/>
  <c r="BF5" i="1"/>
  <c r="BD54" i="1"/>
  <c r="AF44" i="1"/>
  <c r="AF46" i="1" s="1"/>
  <c r="AF47" i="1" s="1"/>
  <c r="BG27" i="1" l="1"/>
  <c r="BS6" i="1"/>
  <c r="BG54" i="1"/>
  <c r="BD55" i="1"/>
  <c r="BI54" i="1"/>
  <c r="BS5" i="1"/>
  <c r="AV34" i="1"/>
  <c r="AV37" i="1" s="1"/>
  <c r="BF54" i="1"/>
  <c r="AM44" i="1"/>
  <c r="AM46" i="1" s="1"/>
  <c r="AM47" i="1" s="1"/>
  <c r="AH44" i="1"/>
  <c r="BS27" i="1" l="1"/>
  <c r="BK56" i="1"/>
  <c r="AO44" i="1"/>
  <c r="AJ44" i="1"/>
  <c r="AJ47" i="1" s="1"/>
  <c r="AJ54" i="1"/>
  <c r="AJ56" i="1" s="1"/>
  <c r="BK54" i="1"/>
  <c r="BI34" i="1"/>
  <c r="BU5" i="1"/>
  <c r="AR44" i="1"/>
  <c r="AR46" i="1" s="1"/>
  <c r="AR47" i="1" s="1"/>
  <c r="AT34" i="1"/>
  <c r="AY34" i="1" s="1"/>
  <c r="AY36" i="1" l="1"/>
  <c r="AY37" i="1" s="1"/>
  <c r="BD37" i="1" s="1"/>
  <c r="AY44" i="1"/>
  <c r="BG34" i="1"/>
  <c r="BG36" i="1" s="1"/>
  <c r="BG37" i="1" s="1"/>
  <c r="BK36" i="1"/>
  <c r="AU47" i="1"/>
  <c r="BA34" i="1"/>
  <c r="BF34" i="1" s="1"/>
  <c r="BS54" i="1"/>
  <c r="AV54" i="1"/>
  <c r="AV56" i="1" s="1"/>
  <c r="BM54" i="1"/>
  <c r="BU6" i="1"/>
  <c r="BU27" i="1" s="1"/>
  <c r="AT44" i="1"/>
  <c r="BS34" i="1" l="1"/>
  <c r="BK37" i="1"/>
  <c r="BP37" i="1" s="1"/>
  <c r="BS37" i="1"/>
  <c r="BU56" i="1"/>
  <c r="AV44" i="1"/>
  <c r="AV47" i="1" s="1"/>
  <c r="BH54" i="1"/>
  <c r="BH56" i="1" s="1"/>
  <c r="BL55" i="1"/>
  <c r="BL56" i="1" s="1"/>
  <c r="BU34" i="1"/>
  <c r="BT37" i="1" s="1"/>
  <c r="BU54" i="1"/>
  <c r="BA44" i="1"/>
  <c r="BS36" i="1" l="1"/>
  <c r="BK44" i="1"/>
  <c r="BK46" i="1" s="1"/>
  <c r="BD44" i="1" l="1"/>
  <c r="BD46" i="1" l="1"/>
  <c r="BD47" i="1" s="1"/>
  <c r="BG44" i="1"/>
  <c r="BF44" i="1"/>
  <c r="BH34" i="1"/>
  <c r="BH37" i="1" s="1"/>
  <c r="BS44" i="1" l="1"/>
  <c r="BG46" i="1"/>
  <c r="BG47" i="1" s="1"/>
  <c r="BH44" i="1"/>
  <c r="BH47" i="1" s="1"/>
  <c r="BK47" i="1" l="1"/>
  <c r="BP47" i="1" s="1"/>
</calcChain>
</file>

<file path=xl/sharedStrings.xml><?xml version="1.0" encoding="utf-8"?>
<sst xmlns="http://schemas.openxmlformats.org/spreadsheetml/2006/main" count="501" uniqueCount="62">
  <si>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</si>
  <si>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</si>
  <si>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</si>
  <si>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</si>
  <si>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</si>
  <si>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</si>
  <si>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</si>
  <si>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</si>
  <si>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</si>
  <si>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</si>
  <si>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</si>
  <si>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</si>
  <si>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</si>
  <si>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</si>
  <si>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</si>
  <si>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</si>
  <si>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</si>
  <si>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</si>
  <si>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</si>
  <si>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</si>
  <si>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</si>
  <si>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</si>
  <si>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</si>
  <si>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</si>
  <si>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</si>
  <si>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</si>
  <si>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</si>
  <si>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</si>
  <si>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</si>
  <si>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</si>
  <si>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</si>
  <si>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</si>
  <si>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</si>
  <si>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</si>
  <si>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</si>
  <si>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</si>
  <si>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</si>
  <si>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</si>
  <si>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</si>
  <si>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</si>
  <si>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</si>
  <si>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</si>
  <si>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</si>
  <si>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</si>
  <si>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</si>
  <si>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</si>
  <si>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</si>
  <si>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</si>
  <si>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</si>
  <si>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</si>
  <si>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</si>
  <si>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</si>
  <si>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</si>
  <si>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</si>
  <si>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</si>
  <si>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</si>
  <si>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</si>
  <si>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2021</t>
  </si>
  <si>
    <t>Emendas Rec 40</t>
  </si>
  <si>
    <t>21. SMC</t>
  </si>
  <si>
    <t>22. SMEL</t>
  </si>
  <si>
    <t>23. SMHRF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</si>
</sst>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0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1"/>
  <sheetViews>
    <sheetView tabSelected="1" zoomScale="120" zoomScaleNormal="120" zoomScaleSheetLayoutView="90" workbookViewId="0">
      <pane xSplit="2" ySplit="4" topLeftCell="AY23" activePane="bottomRight" state="frozen"/>
      <selection pane="topRight" activeCell="AN1" sqref="AN1"/>
      <selection pane="bottomLeft" activeCell="A5" sqref="A5"/>
      <selection pane="bottomRight" activeCell="BG44" sqref="BG44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0.28515625" style="24" customWidth="1"/>
    <col min="26" max="26" width="10.42578125" style="24" customWidth="1"/>
    <col min="27" max="28" width="12.85546875" style="24" customWidth="1"/>
    <col min="29" max="29" width="11.5703125" style="24" customWidth="1"/>
    <col min="30" max="30" width="12.85546875" style="24" customWidth="1"/>
    <col min="31" max="31" width="11.5703125" style="24" customWidth="1"/>
    <col min="32" max="32" width="12.85546875" style="24" customWidth="1"/>
    <col min="33" max="34" width="12.85546875" style="20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customWidth="1"/>
    <col min="39" max="39" width="12.5703125" style="20" customWidth="1"/>
    <col min="40" max="40" width="11.42578125" style="20" customWidth="1"/>
    <col min="41" max="41" width="12.85546875" style="20" customWidth="1"/>
    <col min="42" max="42" width="11.7109375" style="20" customWidth="1"/>
    <col min="43" max="43" width="10.5703125" style="24" customWidth="1"/>
    <col min="44" max="44" width="12.85546875" style="24" customWidth="1"/>
    <col min="45" max="46" width="12.85546875" style="20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hidden="1" customWidth="1"/>
    <col min="51" max="51" width="12.85546875" style="20" customWidth="1"/>
    <col min="52" max="52" width="12.85546875" style="20" hidden="1" customWidth="1"/>
    <col min="53" max="53" width="12" style="20" hidden="1" customWidth="1"/>
    <col min="54" max="54" width="12.85546875" style="20" customWidth="1"/>
    <col min="55" max="55" width="11.7109375" style="24" hidden="1" customWidth="1"/>
    <col min="56" max="56" width="12.85546875" style="24" customWidth="1"/>
    <col min="57" max="57" width="11" style="24" hidden="1" customWidth="1"/>
    <col min="58" max="58" width="12" style="24" hidden="1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3.570312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11.42578125" style="19" customWidth="1"/>
    <col min="75" max="75" width="11.85546875" style="2" customWidth="1"/>
    <col min="76" max="76" width="9.7109375" style="2" customWidth="1"/>
    <col min="77" max="252" width="7.7109375" style="2"/>
    <col min="253" max="16384" width="7.7109375" style="3"/>
  </cols>
  <sheetData>
    <row r="1" spans="1:253" s="2" customFormat="1" ht="11.1" customHeight="1" x14ac:dyDescent="0.2">
      <c r="A1" s="47"/>
      <c r="B1" s="29"/>
      <c r="C1" s="52" t="s">
        <v>57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 t="s">
        <v>57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 t="s">
        <v>57</v>
      </c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29"/>
      <c r="AK1" s="53" t="s">
        <v>57</v>
      </c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29"/>
      <c r="BI1" s="53" t="s">
        <v>57</v>
      </c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1"/>
      <c r="BU1" s="1"/>
      <c r="IL1" s="3"/>
      <c r="IM1" s="3"/>
      <c r="IN1" s="3"/>
      <c r="IO1" s="3"/>
      <c r="IP1" s="3"/>
      <c r="IQ1" s="3"/>
      <c r="IR1" s="3"/>
      <c r="IS1" s="3"/>
    </row>
    <row r="2" spans="1:253" s="2" customFormat="1" ht="12.6" customHeight="1" x14ac:dyDescent="0.2">
      <c r="A2" s="50" t="s">
        <v>0</v>
      </c>
      <c r="B2" s="50" t="s">
        <v>1</v>
      </c>
      <c r="C2" s="50" t="s">
        <v>2</v>
      </c>
      <c r="D2" s="50"/>
      <c r="E2" s="50"/>
      <c r="F2" s="50"/>
      <c r="G2" s="1"/>
      <c r="H2" s="50" t="s">
        <v>3</v>
      </c>
      <c r="I2" s="50"/>
      <c r="J2" s="50"/>
      <c r="K2" s="50"/>
      <c r="L2" s="50"/>
      <c r="M2" s="51" t="s">
        <v>4</v>
      </c>
      <c r="N2" s="50" t="s">
        <v>5</v>
      </c>
      <c r="O2" s="50"/>
      <c r="P2" s="50"/>
      <c r="Q2" s="50"/>
      <c r="R2" s="50"/>
      <c r="S2" s="50" t="s">
        <v>6</v>
      </c>
      <c r="T2" s="50"/>
      <c r="U2" s="50"/>
      <c r="V2" s="50"/>
      <c r="W2" s="50"/>
      <c r="X2" s="51" t="s">
        <v>7</v>
      </c>
      <c r="Y2" s="50" t="s">
        <v>9</v>
      </c>
      <c r="Z2" s="50"/>
      <c r="AA2" s="50"/>
      <c r="AB2" s="50"/>
      <c r="AC2" s="50"/>
      <c r="AD2" s="50" t="s">
        <v>10</v>
      </c>
      <c r="AE2" s="50"/>
      <c r="AF2" s="50"/>
      <c r="AG2" s="50"/>
      <c r="AH2" s="50"/>
      <c r="AI2" s="51" t="s">
        <v>11</v>
      </c>
      <c r="AJ2" s="51" t="s">
        <v>8</v>
      </c>
      <c r="AK2" s="50" t="s">
        <v>12</v>
      </c>
      <c r="AL2" s="50"/>
      <c r="AM2" s="50"/>
      <c r="AN2" s="50"/>
      <c r="AO2" s="50"/>
      <c r="AP2" s="50" t="s">
        <v>13</v>
      </c>
      <c r="AQ2" s="50"/>
      <c r="AR2" s="50"/>
      <c r="AS2" s="50"/>
      <c r="AT2" s="50"/>
      <c r="AU2" s="51" t="s">
        <v>14</v>
      </c>
      <c r="AV2" s="51" t="s">
        <v>8</v>
      </c>
      <c r="AW2" s="50" t="s">
        <v>15</v>
      </c>
      <c r="AX2" s="50"/>
      <c r="AY2" s="50"/>
      <c r="AZ2" s="50"/>
      <c r="BA2" s="50"/>
      <c r="BB2" s="50" t="s">
        <v>16</v>
      </c>
      <c r="BC2" s="50"/>
      <c r="BD2" s="50"/>
      <c r="BE2" s="50"/>
      <c r="BF2" s="50"/>
      <c r="BG2" s="51" t="s">
        <v>17</v>
      </c>
      <c r="BH2" s="51" t="s">
        <v>8</v>
      </c>
      <c r="BI2" s="50" t="s">
        <v>18</v>
      </c>
      <c r="BJ2" s="50"/>
      <c r="BK2" s="50"/>
      <c r="BL2" s="50"/>
      <c r="BM2" s="50"/>
      <c r="BN2" s="50" t="s">
        <v>19</v>
      </c>
      <c r="BO2" s="50"/>
      <c r="BP2" s="50"/>
      <c r="BQ2" s="50"/>
      <c r="BR2" s="50"/>
      <c r="BS2" s="37" t="s">
        <v>20</v>
      </c>
      <c r="BT2" s="30"/>
      <c r="BU2" s="31"/>
      <c r="IL2" s="3"/>
      <c r="IM2" s="3"/>
      <c r="IN2" s="3"/>
      <c r="IO2" s="3"/>
      <c r="IP2" s="3"/>
      <c r="IQ2" s="3"/>
      <c r="IR2" s="3"/>
      <c r="IS2" s="3"/>
    </row>
    <row r="3" spans="1:253" s="2" customFormat="1" ht="12.75" customHeight="1" x14ac:dyDescent="0.2">
      <c r="A3" s="50"/>
      <c r="B3" s="50"/>
      <c r="C3" s="50" t="s">
        <v>21</v>
      </c>
      <c r="D3" s="50"/>
      <c r="E3" s="50" t="s">
        <v>22</v>
      </c>
      <c r="F3" s="50"/>
      <c r="G3" s="50" t="s">
        <v>23</v>
      </c>
      <c r="H3" s="50" t="s">
        <v>21</v>
      </c>
      <c r="I3" s="50"/>
      <c r="J3" s="50" t="s">
        <v>22</v>
      </c>
      <c r="K3" s="50"/>
      <c r="L3" s="50" t="s">
        <v>23</v>
      </c>
      <c r="M3" s="51"/>
      <c r="N3" s="50" t="s">
        <v>21</v>
      </c>
      <c r="O3" s="50"/>
      <c r="P3" s="50" t="s">
        <v>22</v>
      </c>
      <c r="Q3" s="50"/>
      <c r="R3" s="50" t="s">
        <v>23</v>
      </c>
      <c r="S3" s="50" t="s">
        <v>21</v>
      </c>
      <c r="T3" s="50"/>
      <c r="U3" s="50" t="s">
        <v>22</v>
      </c>
      <c r="V3" s="50"/>
      <c r="W3" s="50" t="s">
        <v>23</v>
      </c>
      <c r="X3" s="51"/>
      <c r="Y3" s="50" t="s">
        <v>21</v>
      </c>
      <c r="Z3" s="50"/>
      <c r="AA3" s="50" t="s">
        <v>22</v>
      </c>
      <c r="AB3" s="50"/>
      <c r="AC3" s="50" t="s">
        <v>23</v>
      </c>
      <c r="AD3" s="50" t="s">
        <v>21</v>
      </c>
      <c r="AE3" s="50"/>
      <c r="AF3" s="50" t="s">
        <v>22</v>
      </c>
      <c r="AG3" s="50"/>
      <c r="AH3" s="50" t="s">
        <v>23</v>
      </c>
      <c r="AI3" s="51"/>
      <c r="AJ3" s="51"/>
      <c r="AK3" s="50" t="s">
        <v>21</v>
      </c>
      <c r="AL3" s="50"/>
      <c r="AM3" s="50" t="s">
        <v>22</v>
      </c>
      <c r="AN3" s="50"/>
      <c r="AO3" s="50" t="s">
        <v>23</v>
      </c>
      <c r="AP3" s="50" t="s">
        <v>21</v>
      </c>
      <c r="AQ3" s="50"/>
      <c r="AR3" s="50" t="s">
        <v>22</v>
      </c>
      <c r="AS3" s="50"/>
      <c r="AT3" s="50" t="s">
        <v>23</v>
      </c>
      <c r="AU3" s="51"/>
      <c r="AV3" s="51"/>
      <c r="AW3" s="50" t="s">
        <v>21</v>
      </c>
      <c r="AX3" s="50"/>
      <c r="AY3" s="50" t="s">
        <v>22</v>
      </c>
      <c r="AZ3" s="50"/>
      <c r="BA3" s="50" t="s">
        <v>23</v>
      </c>
      <c r="BB3" s="50" t="s">
        <v>21</v>
      </c>
      <c r="BC3" s="50"/>
      <c r="BD3" s="50" t="s">
        <v>22</v>
      </c>
      <c r="BE3" s="50"/>
      <c r="BF3" s="50" t="s">
        <v>23</v>
      </c>
      <c r="BG3" s="51"/>
      <c r="BH3" s="51"/>
      <c r="BI3" s="50" t="s">
        <v>21</v>
      </c>
      <c r="BJ3" s="50"/>
      <c r="BK3" s="50" t="s">
        <v>22</v>
      </c>
      <c r="BL3" s="50"/>
      <c r="BM3" s="50"/>
      <c r="BN3" s="50" t="s">
        <v>21</v>
      </c>
      <c r="BO3" s="50"/>
      <c r="BP3" s="50" t="s">
        <v>22</v>
      </c>
      <c r="BQ3" s="50"/>
      <c r="BR3" s="50"/>
      <c r="BS3" s="55" t="s">
        <v>41</v>
      </c>
      <c r="BT3" s="32"/>
      <c r="BU3" s="33"/>
      <c r="IL3" s="3"/>
      <c r="IM3" s="3"/>
      <c r="IN3" s="3"/>
      <c r="IO3" s="3"/>
      <c r="IP3" s="3"/>
      <c r="IQ3" s="3"/>
      <c r="IR3" s="3"/>
      <c r="IS3" s="3"/>
    </row>
    <row r="4" spans="1:253" s="2" customFormat="1" ht="17.100000000000001" customHeight="1" x14ac:dyDescent="0.2">
      <c r="A4" s="50"/>
      <c r="B4" s="50"/>
      <c r="C4" s="1" t="s">
        <v>24</v>
      </c>
      <c r="D4" s="1" t="s">
        <v>25</v>
      </c>
      <c r="E4" s="1" t="s">
        <v>24</v>
      </c>
      <c r="F4" s="1" t="s">
        <v>25</v>
      </c>
      <c r="G4" s="50"/>
      <c r="H4" s="1" t="s">
        <v>24</v>
      </c>
      <c r="I4" s="1" t="s">
        <v>25</v>
      </c>
      <c r="J4" s="1" t="s">
        <v>24</v>
      </c>
      <c r="K4" s="1" t="s">
        <v>25</v>
      </c>
      <c r="L4" s="50"/>
      <c r="M4" s="51"/>
      <c r="N4" s="1" t="s">
        <v>24</v>
      </c>
      <c r="O4" s="1" t="s">
        <v>25</v>
      </c>
      <c r="P4" s="1" t="s">
        <v>24</v>
      </c>
      <c r="Q4" s="1" t="s">
        <v>25</v>
      </c>
      <c r="R4" s="50"/>
      <c r="S4" s="1" t="s">
        <v>24</v>
      </c>
      <c r="T4" s="1" t="s">
        <v>25</v>
      </c>
      <c r="U4" s="1" t="s">
        <v>24</v>
      </c>
      <c r="V4" s="1" t="s">
        <v>25</v>
      </c>
      <c r="W4" s="50"/>
      <c r="X4" s="51"/>
      <c r="Y4" s="1" t="s">
        <v>24</v>
      </c>
      <c r="Z4" s="1" t="s">
        <v>25</v>
      </c>
      <c r="AA4" s="1" t="s">
        <v>24</v>
      </c>
      <c r="AB4" s="1" t="s">
        <v>25</v>
      </c>
      <c r="AC4" s="50"/>
      <c r="AD4" s="1" t="s">
        <v>24</v>
      </c>
      <c r="AE4" s="1" t="s">
        <v>25</v>
      </c>
      <c r="AF4" s="1" t="s">
        <v>24</v>
      </c>
      <c r="AG4" s="1" t="s">
        <v>25</v>
      </c>
      <c r="AH4" s="50"/>
      <c r="AI4" s="51"/>
      <c r="AJ4" s="51"/>
      <c r="AK4" s="1" t="s">
        <v>24</v>
      </c>
      <c r="AL4" s="1" t="s">
        <v>25</v>
      </c>
      <c r="AM4" s="1" t="s">
        <v>24</v>
      </c>
      <c r="AN4" s="1" t="s">
        <v>25</v>
      </c>
      <c r="AO4" s="50"/>
      <c r="AP4" s="1" t="s">
        <v>24</v>
      </c>
      <c r="AQ4" s="1" t="s">
        <v>25</v>
      </c>
      <c r="AR4" s="1" t="s">
        <v>24</v>
      </c>
      <c r="AS4" s="1" t="s">
        <v>25</v>
      </c>
      <c r="AT4" s="50"/>
      <c r="AU4" s="51"/>
      <c r="AV4" s="51"/>
      <c r="AW4" s="1" t="s">
        <v>24</v>
      </c>
      <c r="AX4" s="1" t="s">
        <v>25</v>
      </c>
      <c r="AY4" s="1" t="s">
        <v>24</v>
      </c>
      <c r="AZ4" s="1" t="s">
        <v>25</v>
      </c>
      <c r="BA4" s="50"/>
      <c r="BB4" s="1" t="s">
        <v>24</v>
      </c>
      <c r="BC4" s="1" t="s">
        <v>25</v>
      </c>
      <c r="BD4" s="1" t="s">
        <v>24</v>
      </c>
      <c r="BE4" s="1" t="s">
        <v>25</v>
      </c>
      <c r="BF4" s="50"/>
      <c r="BG4" s="51"/>
      <c r="BH4" s="51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6"/>
      <c r="BT4" s="1" t="s">
        <v>25</v>
      </c>
      <c r="BU4" s="4" t="s">
        <v>23</v>
      </c>
      <c r="IL4" s="3"/>
      <c r="IM4" s="3"/>
      <c r="IN4" s="3"/>
      <c r="IO4" s="3"/>
      <c r="IP4" s="3"/>
      <c r="IQ4" s="3"/>
      <c r="IR4" s="3"/>
      <c r="IS4" s="3"/>
    </row>
    <row r="5" spans="1:253" s="2" customFormat="1" ht="12.75" customHeight="1" x14ac:dyDescent="0.2">
      <c r="A5" s="5" t="s">
        <v>26</v>
      </c>
      <c r="B5" s="5">
        <v>27360000</v>
      </c>
      <c r="C5" s="6">
        <f>3000000+200000</f>
        <v>3200000</v>
      </c>
      <c r="D5" s="6">
        <v>3035778.56</v>
      </c>
      <c r="E5" s="6"/>
      <c r="F5" s="6"/>
      <c r="G5" s="6">
        <f>C5-D5</f>
        <v>164221.43999999994</v>
      </c>
      <c r="H5" s="6">
        <f>3000000+G5</f>
        <v>3164221.4399999999</v>
      </c>
      <c r="I5" s="6">
        <v>3076254.69</v>
      </c>
      <c r="J5" s="6"/>
      <c r="K5" s="6"/>
      <c r="L5" s="6">
        <f>H5-I5</f>
        <v>87966.75</v>
      </c>
      <c r="M5" s="7">
        <f>SUM(D5+I5)</f>
        <v>6112033.25</v>
      </c>
      <c r="N5" s="6">
        <f>2800000+L5</f>
        <v>2887966.75</v>
      </c>
      <c r="O5" s="6">
        <v>2851459.9</v>
      </c>
      <c r="P5" s="6"/>
      <c r="Q5" s="6"/>
      <c r="R5" s="6">
        <f>N5-O5</f>
        <v>36506.850000000093</v>
      </c>
      <c r="S5" s="6">
        <f>2800000+R5+20000</f>
        <v>2856506.85</v>
      </c>
      <c r="T5" s="6">
        <v>2852852.19</v>
      </c>
      <c r="U5" s="6"/>
      <c r="V5" s="6"/>
      <c r="W5" s="6">
        <f>S5-T5</f>
        <v>3654.660000000149</v>
      </c>
      <c r="X5" s="9">
        <f>O5+T5</f>
        <v>5704312.0899999999</v>
      </c>
      <c r="Y5" s="8">
        <f>2800000+W5+100000</f>
        <v>2903654.66</v>
      </c>
      <c r="Z5" s="8">
        <v>2872583.79</v>
      </c>
      <c r="AA5" s="8"/>
      <c r="AB5" s="8"/>
      <c r="AC5" s="8">
        <f>Y5-Z5</f>
        <v>31070.870000000112</v>
      </c>
      <c r="AD5" s="8">
        <f>2500000+AC5</f>
        <v>2531070.87</v>
      </c>
      <c r="AE5" s="8">
        <v>1616937.11</v>
      </c>
      <c r="AF5" s="8"/>
      <c r="AG5" s="8"/>
      <c r="AH5" s="8">
        <f>AD5-AE5</f>
        <v>914133.76</v>
      </c>
      <c r="AI5" s="7">
        <f>Z5+AE5</f>
        <v>4489520.9000000004</v>
      </c>
      <c r="AJ5" s="8" t="e">
        <f>#REF!+AI5</f>
        <v>#REF!</v>
      </c>
      <c r="AK5" s="8">
        <f>2500000+AH5</f>
        <v>3414133.76</v>
      </c>
      <c r="AL5" s="8">
        <v>1634217.41</v>
      </c>
      <c r="AM5" s="8"/>
      <c r="AN5" s="8"/>
      <c r="AO5" s="8">
        <f>AK5-AL5</f>
        <v>1779916.3499999999</v>
      </c>
      <c r="AP5" s="8">
        <f>1600000+AO5</f>
        <v>3379916.3499999996</v>
      </c>
      <c r="AQ5" s="8">
        <v>1125742.0800000001</v>
      </c>
      <c r="AR5" s="8"/>
      <c r="AS5" s="8"/>
      <c r="AT5" s="8">
        <f>AP5-AQ5</f>
        <v>2254174.2699999996</v>
      </c>
      <c r="AU5" s="7">
        <f>AL5+AQ5</f>
        <v>2759959.49</v>
      </c>
      <c r="AV5" s="10" t="e">
        <f t="shared" ref="AV5:AV22" si="0">AJ5+AU5</f>
        <v>#REF!</v>
      </c>
      <c r="AW5" s="8">
        <f>1600000+AT5</f>
        <v>3854174.2699999996</v>
      </c>
      <c r="AX5" s="8"/>
      <c r="AY5" s="8"/>
      <c r="AZ5" s="8"/>
      <c r="BA5" s="8">
        <f>AW5-AX5</f>
        <v>3854174.2699999996</v>
      </c>
      <c r="BB5" s="8">
        <v>1600000</v>
      </c>
      <c r="BC5" s="8"/>
      <c r="BD5" s="8"/>
      <c r="BE5" s="8"/>
      <c r="BF5" s="8">
        <f>BB5-BC5</f>
        <v>1600000</v>
      </c>
      <c r="BG5" s="7">
        <f>AW5+BB5</f>
        <v>5454174.2699999996</v>
      </c>
      <c r="BH5" s="10"/>
      <c r="BI5" s="8">
        <v>1600000</v>
      </c>
      <c r="BJ5" s="8"/>
      <c r="BK5" s="8"/>
      <c r="BL5" s="8"/>
      <c r="BM5" s="8"/>
      <c r="BN5" s="8">
        <f>1560000-200000-20000-100000</f>
        <v>1240000</v>
      </c>
      <c r="BO5" s="8"/>
      <c r="BP5" s="8"/>
      <c r="BQ5" s="8"/>
      <c r="BR5" s="10"/>
      <c r="BS5" s="9">
        <f>M5+X5+AI5+AU5+BG5+BI5+BN5</f>
        <v>27360000</v>
      </c>
      <c r="BT5" s="9">
        <f>F5+K5+Q5+V5+AB5+AG5+AN5+AS5+AZ5+BE5+BL5+BQ5</f>
        <v>0</v>
      </c>
      <c r="BU5" s="11">
        <f>BS5-BT5</f>
        <v>27360000</v>
      </c>
      <c r="IL5" s="3"/>
      <c r="IM5" s="3"/>
      <c r="IN5" s="3"/>
      <c r="IO5" s="3"/>
      <c r="IP5" s="3"/>
      <c r="IQ5" s="3"/>
      <c r="IR5" s="3"/>
      <c r="IS5" s="3"/>
    </row>
    <row r="6" spans="1:253" s="2" customFormat="1" ht="12.75" customHeight="1" x14ac:dyDescent="0.2">
      <c r="A6" s="5" t="s">
        <v>42</v>
      </c>
      <c r="B6" s="5">
        <v>18875500</v>
      </c>
      <c r="C6" s="6"/>
      <c r="D6" s="7"/>
      <c r="E6" s="6">
        <f>3686649.4+1978000</f>
        <v>5664649.4000000004</v>
      </c>
      <c r="F6" s="6">
        <v>1365735.49</v>
      </c>
      <c r="G6" s="6">
        <f>E6-F6</f>
        <v>4298913.91</v>
      </c>
      <c r="H6" s="12"/>
      <c r="I6" s="6"/>
      <c r="J6" s="6">
        <f>1719558.05+G6+30600</f>
        <v>6049071.96</v>
      </c>
      <c r="K6" s="6">
        <v>1381283.6</v>
      </c>
      <c r="L6" s="6">
        <f>J6-K6</f>
        <v>4667788.3599999994</v>
      </c>
      <c r="M6" s="7">
        <f>F6+K6</f>
        <v>2747019.09</v>
      </c>
      <c r="N6" s="13"/>
      <c r="O6" s="13"/>
      <c r="P6" s="6">
        <f>1665913.89+L6+38000</f>
        <v>6371702.2499999991</v>
      </c>
      <c r="Q6" s="6">
        <v>1492743.48</v>
      </c>
      <c r="R6" s="6">
        <f>P6-Q6</f>
        <v>4878958.7699999996</v>
      </c>
      <c r="S6" s="12"/>
      <c r="T6" s="12"/>
      <c r="U6" s="6">
        <f>1454262.9+R6+266850</f>
        <v>6600071.6699999999</v>
      </c>
      <c r="V6" s="6">
        <v>1501609.83</v>
      </c>
      <c r="W6" s="6">
        <f>U6-V6</f>
        <v>5098461.84</v>
      </c>
      <c r="X6" s="9">
        <f>Q6+V6</f>
        <v>2994353.31</v>
      </c>
      <c r="Y6" s="8"/>
      <c r="Z6" s="8"/>
      <c r="AA6" s="8">
        <f>1250841.64+W6+86000</f>
        <v>6435303.4799999995</v>
      </c>
      <c r="AB6" s="8">
        <v>1674002.06</v>
      </c>
      <c r="AC6" s="8">
        <f>AA6-AB6</f>
        <v>4761301.42</v>
      </c>
      <c r="AD6" s="10"/>
      <c r="AE6" s="10"/>
      <c r="AF6" s="8">
        <f>1358469.74+AC6+172600</f>
        <v>6292371.1600000001</v>
      </c>
      <c r="AG6" s="8">
        <v>1604668.36</v>
      </c>
      <c r="AH6" s="8">
        <f t="shared" ref="AH6:AH23" si="1">AF6-AG6</f>
        <v>4687702.8</v>
      </c>
      <c r="AI6" s="7">
        <f>AB6+AG6</f>
        <v>3278670.42</v>
      </c>
      <c r="AJ6" s="8" t="e">
        <f>#REF!+AI6</f>
        <v>#REF!</v>
      </c>
      <c r="AK6" s="10"/>
      <c r="AL6" s="8"/>
      <c r="AM6" s="8">
        <f>1330269.73+AH6-82970</f>
        <v>5935002.5299999993</v>
      </c>
      <c r="AN6" s="8">
        <v>1864727.11</v>
      </c>
      <c r="AO6" s="8">
        <f>AM6-AN6</f>
        <v>4070275.419999999</v>
      </c>
      <c r="AP6" s="10"/>
      <c r="AQ6" s="10"/>
      <c r="AR6" s="8">
        <f>1471269.73+AO6-13500</f>
        <v>5528045.1499999985</v>
      </c>
      <c r="AS6" s="8">
        <v>1454018.86</v>
      </c>
      <c r="AT6" s="8">
        <f>AR6-AS6</f>
        <v>4074026.2899999982</v>
      </c>
      <c r="AU6" s="7">
        <f>AN6+AS6</f>
        <v>3318745.97</v>
      </c>
      <c r="AV6" s="10" t="e">
        <f t="shared" si="0"/>
        <v>#REF!</v>
      </c>
      <c r="AW6" s="10"/>
      <c r="AX6" s="10"/>
      <c r="AY6" s="8">
        <f>1278267.73+AT6</f>
        <v>5352294.0199999977</v>
      </c>
      <c r="AZ6" s="8"/>
      <c r="BA6" s="8">
        <f>AY6-AZ6</f>
        <v>5352294.0199999977</v>
      </c>
      <c r="BB6" s="10"/>
      <c r="BC6" s="10"/>
      <c r="BD6" s="8">
        <v>1340877.77</v>
      </c>
      <c r="BE6" s="8"/>
      <c r="BF6" s="8">
        <f>BD6-BE6</f>
        <v>1340877.77</v>
      </c>
      <c r="BG6" s="7">
        <f>BA6+BF6</f>
        <v>6693171.7899999972</v>
      </c>
      <c r="BH6" s="10"/>
      <c r="BI6" s="10"/>
      <c r="BJ6" s="10"/>
      <c r="BK6" s="8">
        <v>1373419.13</v>
      </c>
      <c r="BL6" s="8"/>
      <c r="BM6" s="10"/>
      <c r="BN6" s="10"/>
      <c r="BO6" s="10"/>
      <c r="BP6" s="8">
        <v>945700.29</v>
      </c>
      <c r="BQ6" s="8"/>
      <c r="BR6" s="10"/>
      <c r="BS6" s="9">
        <f>M6+X6+AI6+AU6+BG6+BK6+BP6</f>
        <v>21351079.999999996</v>
      </c>
      <c r="BT6" s="9">
        <f>F6+K6+Q6+V6+AB6+AG6+AN6+AS6+AZ6+BE6+BL6+BQ6</f>
        <v>12338788.789999999</v>
      </c>
      <c r="BU6" s="11">
        <f>BS6-BT6</f>
        <v>9012291.2099999972</v>
      </c>
      <c r="IL6" s="3"/>
      <c r="IM6" s="3"/>
      <c r="IN6" s="3"/>
      <c r="IO6" s="3"/>
      <c r="IP6" s="3"/>
      <c r="IQ6" s="3"/>
      <c r="IR6" s="3"/>
      <c r="IS6" s="3"/>
    </row>
    <row r="7" spans="1:253" s="2" customFormat="1" ht="12.75" customHeight="1" x14ac:dyDescent="0.2">
      <c r="A7" s="5" t="s">
        <v>37</v>
      </c>
      <c r="B7" s="5">
        <v>4521000</v>
      </c>
      <c r="C7" s="6"/>
      <c r="D7" s="7"/>
      <c r="E7" s="6">
        <f>883014.59+52000</f>
        <v>935014.59</v>
      </c>
      <c r="F7" s="6">
        <v>343708.66</v>
      </c>
      <c r="G7" s="6">
        <f t="shared" ref="G7:G23" si="2">E7-F7</f>
        <v>591305.92999999993</v>
      </c>
      <c r="H7" s="12"/>
      <c r="I7" s="6"/>
      <c r="J7" s="6">
        <f>411863.1+G7</f>
        <v>1003169.0299999999</v>
      </c>
      <c r="K7" s="6">
        <v>372483.43</v>
      </c>
      <c r="L7" s="6">
        <f t="shared" ref="L7:L23" si="3">J7-K7</f>
        <v>630685.59999999986</v>
      </c>
      <c r="M7" s="7">
        <f t="shared" ref="M7:M19" si="4">F7+K7</f>
        <v>716192.09</v>
      </c>
      <c r="N7" s="13"/>
      <c r="O7" s="13"/>
      <c r="P7" s="6">
        <f>399014.42+L7+200</f>
        <v>1029900.0199999998</v>
      </c>
      <c r="Q7" s="6">
        <v>356439.32</v>
      </c>
      <c r="R7" s="6">
        <f t="shared" ref="R7:R23" si="5">P7-Q7</f>
        <v>673460.69999999972</v>
      </c>
      <c r="S7" s="12"/>
      <c r="T7" s="12"/>
      <c r="U7" s="6">
        <f>348320.44+R7+13000</f>
        <v>1034781.1399999997</v>
      </c>
      <c r="V7" s="6">
        <v>345430.52</v>
      </c>
      <c r="W7" s="6">
        <f>U7-V7</f>
        <v>689350.61999999965</v>
      </c>
      <c r="X7" s="9">
        <f t="shared" ref="X7:X19" si="6">Q7+V7</f>
        <v>701869.84000000008</v>
      </c>
      <c r="Y7" s="8"/>
      <c r="Z7" s="8"/>
      <c r="AA7" s="8">
        <f>299597.63+W7</f>
        <v>988948.24999999965</v>
      </c>
      <c r="AB7" s="8">
        <v>337658.99</v>
      </c>
      <c r="AC7" s="8">
        <f t="shared" ref="AC7:AC23" si="7">AA7-AB7</f>
        <v>651289.25999999966</v>
      </c>
      <c r="AD7" s="10"/>
      <c r="AE7" s="10"/>
      <c r="AF7" s="8">
        <f>325376.37+AC7</f>
        <v>976665.62999999966</v>
      </c>
      <c r="AG7" s="8">
        <v>346611.14</v>
      </c>
      <c r="AH7" s="8">
        <f t="shared" si="1"/>
        <v>630054.48999999964</v>
      </c>
      <c r="AI7" s="7">
        <f>AB7+AG7</f>
        <v>684270.13</v>
      </c>
      <c r="AJ7" s="8"/>
      <c r="AK7" s="10"/>
      <c r="AL7" s="8"/>
      <c r="AM7" s="8">
        <f>318622+AH7</f>
        <v>948676.48999999964</v>
      </c>
      <c r="AN7" s="8">
        <v>352116.5</v>
      </c>
      <c r="AO7" s="8">
        <f>AM7-AN7</f>
        <v>596559.98999999964</v>
      </c>
      <c r="AP7" s="10"/>
      <c r="AQ7" s="10"/>
      <c r="AR7" s="8">
        <f>352393.87+AO7+50000</f>
        <v>998953.85999999964</v>
      </c>
      <c r="AS7" s="8">
        <v>360876.19</v>
      </c>
      <c r="AT7" s="8">
        <f t="shared" ref="AT7:AT19" si="8">AR7-AS7</f>
        <v>638077.66999999969</v>
      </c>
      <c r="AU7" s="7">
        <f t="shared" ref="AU7:AU19" si="9">AN7+AS7</f>
        <v>712992.69</v>
      </c>
      <c r="AV7" s="10"/>
      <c r="AW7" s="10"/>
      <c r="AX7" s="10"/>
      <c r="AY7" s="8">
        <f>306166.64+AT7</f>
        <v>944244.30999999971</v>
      </c>
      <c r="AZ7" s="8"/>
      <c r="BA7" s="8">
        <f t="shared" ref="BA7:BA26" si="10">AY7-AZ7</f>
        <v>944244.30999999971</v>
      </c>
      <c r="BB7" s="10"/>
      <c r="BC7" s="10"/>
      <c r="BD7" s="8">
        <v>321162.8</v>
      </c>
      <c r="BE7" s="8"/>
      <c r="BF7" s="8">
        <f t="shared" ref="BF7:BF23" si="11">BD7-BE7</f>
        <v>321162.8</v>
      </c>
      <c r="BG7" s="7">
        <f>BA7+BF7</f>
        <v>1265407.1099999996</v>
      </c>
      <c r="BH7" s="10"/>
      <c r="BI7" s="10"/>
      <c r="BJ7" s="10"/>
      <c r="BK7" s="8">
        <v>328957</v>
      </c>
      <c r="BL7" s="8"/>
      <c r="BM7" s="10"/>
      <c r="BN7" s="10"/>
      <c r="BO7" s="10"/>
      <c r="BP7" s="8">
        <v>226511.14</v>
      </c>
      <c r="BQ7" s="8"/>
      <c r="BR7" s="10"/>
      <c r="BS7" s="9">
        <f t="shared" ref="BS7:BS19" si="12">M7+X7+AI7+AU7+BG7+BK7+BP7</f>
        <v>4636199.9999999991</v>
      </c>
      <c r="BT7" s="9"/>
      <c r="BU7" s="11"/>
      <c r="IL7" s="3"/>
      <c r="IM7" s="3"/>
      <c r="IN7" s="3"/>
      <c r="IO7" s="3"/>
      <c r="IP7" s="3"/>
      <c r="IQ7" s="3"/>
      <c r="IR7" s="3"/>
      <c r="IS7" s="3"/>
    </row>
    <row r="8" spans="1:253" s="2" customFormat="1" ht="12.75" customHeight="1" x14ac:dyDescent="0.2">
      <c r="A8" s="5" t="s">
        <v>38</v>
      </c>
      <c r="B8" s="5">
        <v>33631000</v>
      </c>
      <c r="C8" s="6"/>
      <c r="D8" s="7"/>
      <c r="E8" s="6">
        <f>6568605.12+111436.23</f>
        <v>6680041.3500000006</v>
      </c>
      <c r="F8" s="6">
        <v>798676.65</v>
      </c>
      <c r="G8" s="6">
        <f t="shared" si="2"/>
        <v>5881364.7000000002</v>
      </c>
      <c r="H8" s="12"/>
      <c r="I8" s="6"/>
      <c r="J8" s="6">
        <f>3063784.1+G8</f>
        <v>8945148.8000000007</v>
      </c>
      <c r="K8" s="6">
        <v>780209.15</v>
      </c>
      <c r="L8" s="6">
        <f t="shared" si="3"/>
        <v>8164939.6500000004</v>
      </c>
      <c r="M8" s="7">
        <f t="shared" si="4"/>
        <v>1578885.8</v>
      </c>
      <c r="N8" s="13"/>
      <c r="O8" s="13"/>
      <c r="P8" s="6">
        <f>2968204.8+L8+20000</f>
        <v>11153144.449999999</v>
      </c>
      <c r="Q8" s="6">
        <v>956701.51</v>
      </c>
      <c r="R8" s="6">
        <f t="shared" si="5"/>
        <v>10196442.939999999</v>
      </c>
      <c r="S8" s="12"/>
      <c r="T8" s="12"/>
      <c r="U8" s="6">
        <f>2591100.4+R8+1628090</f>
        <v>14415633.34</v>
      </c>
      <c r="V8" s="6">
        <v>844575.45</v>
      </c>
      <c r="W8" s="6">
        <f t="shared" ref="W8:W23" si="13">U8-V8</f>
        <v>13571057.890000001</v>
      </c>
      <c r="X8" s="9">
        <f t="shared" si="6"/>
        <v>1801276.96</v>
      </c>
      <c r="Y8" s="8"/>
      <c r="Z8" s="8"/>
      <c r="AA8" s="8">
        <f>2228659.11+W8</f>
        <v>15799717</v>
      </c>
      <c r="AB8" s="8">
        <v>936557.19</v>
      </c>
      <c r="AC8" s="8">
        <f t="shared" si="7"/>
        <v>14863159.810000001</v>
      </c>
      <c r="AD8" s="10"/>
      <c r="AE8" s="10"/>
      <c r="AF8" s="8">
        <f>2420423.07+AC8+66000</f>
        <v>17349582.879999999</v>
      </c>
      <c r="AG8" s="8">
        <v>914102.25</v>
      </c>
      <c r="AH8" s="8">
        <f>AF8-AG8</f>
        <v>16435480.629999999</v>
      </c>
      <c r="AI8" s="7">
        <f t="shared" ref="AI8:AI19" si="14">AB8+AG8</f>
        <v>1850659.44</v>
      </c>
      <c r="AJ8" s="8"/>
      <c r="AK8" s="10"/>
      <c r="AL8" s="8"/>
      <c r="AM8" s="8">
        <f>2370178.36+AH8+89425</f>
        <v>18895083.989999998</v>
      </c>
      <c r="AN8" s="8">
        <v>1018181.1</v>
      </c>
      <c r="AO8" s="8">
        <f t="shared" ref="AO8:AO26" si="15">AM8-AN8</f>
        <v>17876902.889999997</v>
      </c>
      <c r="AP8" s="10"/>
      <c r="AQ8" s="10"/>
      <c r="AR8" s="8">
        <f>2621401.93+AO8+60000</f>
        <v>20558304.819999997</v>
      </c>
      <c r="AS8" s="8">
        <v>1092689.3899999999</v>
      </c>
      <c r="AT8" s="8">
        <f t="shared" si="8"/>
        <v>19465615.429999996</v>
      </c>
      <c r="AU8" s="7">
        <f t="shared" si="9"/>
        <v>2110870.4899999998</v>
      </c>
      <c r="AV8" s="10"/>
      <c r="AW8" s="10"/>
      <c r="AX8" s="10"/>
      <c r="AY8" s="8">
        <f>2277524.95+AT8</f>
        <v>21743140.379999995</v>
      </c>
      <c r="AZ8" s="8"/>
      <c r="BA8" s="8">
        <f t="shared" si="10"/>
        <v>21743140.379999995</v>
      </c>
      <c r="BB8" s="10"/>
      <c r="BC8" s="10"/>
      <c r="BD8" s="8">
        <v>2389078.9700000002</v>
      </c>
      <c r="BE8" s="8"/>
      <c r="BF8" s="8">
        <f t="shared" si="11"/>
        <v>2389078.9700000002</v>
      </c>
      <c r="BG8" s="7">
        <f t="shared" ref="BG8:BG19" si="16">BA8+BF8</f>
        <v>24132219.349999994</v>
      </c>
      <c r="BH8" s="10"/>
      <c r="BI8" s="10"/>
      <c r="BJ8" s="10"/>
      <c r="BK8" s="8">
        <v>2447058.83</v>
      </c>
      <c r="BL8" s="8"/>
      <c r="BM8" s="10"/>
      <c r="BN8" s="10"/>
      <c r="BO8" s="10"/>
      <c r="BP8" s="8">
        <v>1684980.36</v>
      </c>
      <c r="BQ8" s="8"/>
      <c r="BR8" s="10"/>
      <c r="BS8" s="9">
        <f t="shared" si="12"/>
        <v>35605951.229999989</v>
      </c>
      <c r="BT8" s="9"/>
      <c r="BU8" s="11"/>
      <c r="IL8" s="3"/>
      <c r="IM8" s="3"/>
      <c r="IN8" s="3"/>
      <c r="IO8" s="3"/>
      <c r="IP8" s="3"/>
      <c r="IQ8" s="3"/>
      <c r="IR8" s="3"/>
      <c r="IS8" s="3"/>
    </row>
    <row r="9" spans="1:253" s="2" customFormat="1" ht="12.75" customHeight="1" x14ac:dyDescent="0.2">
      <c r="A9" s="5" t="s">
        <v>28</v>
      </c>
      <c r="B9" s="5">
        <v>17844000</v>
      </c>
      <c r="C9" s="6"/>
      <c r="D9" s="7"/>
      <c r="E9" s="6">
        <v>3485183.01</v>
      </c>
      <c r="F9" s="6">
        <v>1688842.81</v>
      </c>
      <c r="G9" s="6">
        <f t="shared" si="2"/>
        <v>1796340.1999999997</v>
      </c>
      <c r="H9" s="12"/>
      <c r="I9" s="6"/>
      <c r="J9" s="6">
        <f>1625588.4+G9+270000</f>
        <v>3691928.5999999996</v>
      </c>
      <c r="K9" s="6">
        <v>1151845.3400000001</v>
      </c>
      <c r="L9" s="6">
        <f t="shared" si="3"/>
        <v>2540083.2599999998</v>
      </c>
      <c r="M9" s="7">
        <f t="shared" si="4"/>
        <v>2840688.1500000004</v>
      </c>
      <c r="N9" s="13"/>
      <c r="O9" s="13"/>
      <c r="P9" s="6">
        <f>1574875.76+L9+220000</f>
        <v>4334959.0199999996</v>
      </c>
      <c r="Q9" s="6">
        <v>1504427.04</v>
      </c>
      <c r="R9" s="6">
        <f t="shared" si="5"/>
        <v>2830531.9799999995</v>
      </c>
      <c r="S9" s="12"/>
      <c r="T9" s="12"/>
      <c r="U9" s="6">
        <f>1374790.98+R9+20000</f>
        <v>4225322.959999999</v>
      </c>
      <c r="V9" s="6">
        <v>1301514.8</v>
      </c>
      <c r="W9" s="6">
        <f t="shared" si="13"/>
        <v>2923808.1599999992</v>
      </c>
      <c r="X9" s="9">
        <f t="shared" si="6"/>
        <v>2805941.84</v>
      </c>
      <c r="Y9" s="8"/>
      <c r="Z9" s="8"/>
      <c r="AA9" s="8">
        <f>1182486.2+W9+200000</f>
        <v>4306294.3599999994</v>
      </c>
      <c r="AB9" s="8">
        <v>1208012.27</v>
      </c>
      <c r="AC9" s="8">
        <f t="shared" si="7"/>
        <v>3098282.0899999994</v>
      </c>
      <c r="AD9" s="10"/>
      <c r="AE9" s="10"/>
      <c r="AF9" s="8">
        <f>1284232.68+AC9+25000</f>
        <v>4407514.7699999996</v>
      </c>
      <c r="AG9" s="8">
        <v>1141198.1100000001</v>
      </c>
      <c r="AH9" s="8">
        <f t="shared" si="1"/>
        <v>3266316.6599999992</v>
      </c>
      <c r="AI9" s="7">
        <f t="shared" si="14"/>
        <v>2349210.38</v>
      </c>
      <c r="AJ9" s="8" t="e">
        <f>#REF!+AI9</f>
        <v>#REF!</v>
      </c>
      <c r="AK9" s="10"/>
      <c r="AL9" s="8"/>
      <c r="AM9" s="8">
        <f>1257573.74+AH9</f>
        <v>4523890.3999999994</v>
      </c>
      <c r="AN9" s="8">
        <v>1480707.69</v>
      </c>
      <c r="AO9" s="8">
        <f t="shared" si="15"/>
        <v>3043182.7099999995</v>
      </c>
      <c r="AP9" s="10"/>
      <c r="AQ9" s="10"/>
      <c r="AR9" s="8">
        <f>1390868.42+AO9</f>
        <v>4434051.129999999</v>
      </c>
      <c r="AS9" s="8">
        <v>1405008.49</v>
      </c>
      <c r="AT9" s="8">
        <f t="shared" si="8"/>
        <v>3029042.6399999987</v>
      </c>
      <c r="AU9" s="7">
        <f t="shared" si="9"/>
        <v>2885716.1799999997</v>
      </c>
      <c r="AV9" s="10" t="e">
        <f t="shared" si="0"/>
        <v>#REF!</v>
      </c>
      <c r="AW9" s="10"/>
      <c r="AX9" s="10"/>
      <c r="AY9" s="8">
        <f>1208413.53+AT9</f>
        <v>4237456.169999999</v>
      </c>
      <c r="AZ9" s="8"/>
      <c r="BA9" s="8">
        <f t="shared" si="10"/>
        <v>4237456.169999999</v>
      </c>
      <c r="BB9" s="10"/>
      <c r="BC9" s="10"/>
      <c r="BD9" s="8">
        <v>1267602.08</v>
      </c>
      <c r="BE9" s="8"/>
      <c r="BF9" s="8">
        <f t="shared" si="11"/>
        <v>1267602.08</v>
      </c>
      <c r="BG9" s="7">
        <f t="shared" si="16"/>
        <v>5505058.2499999991</v>
      </c>
      <c r="BH9" s="10"/>
      <c r="BI9" s="10"/>
      <c r="BJ9" s="10"/>
      <c r="BK9" s="8">
        <v>1298365.1200000001</v>
      </c>
      <c r="BL9" s="8"/>
      <c r="BM9" s="10"/>
      <c r="BN9" s="10"/>
      <c r="BO9" s="10"/>
      <c r="BP9" s="8">
        <v>894020.08</v>
      </c>
      <c r="BQ9" s="8"/>
      <c r="BR9" s="10"/>
      <c r="BS9" s="9">
        <f t="shared" si="12"/>
        <v>18579000</v>
      </c>
      <c r="BT9" s="9"/>
      <c r="BU9" s="11"/>
      <c r="IL9" s="3"/>
      <c r="IM9" s="3"/>
      <c r="IN9" s="3"/>
      <c r="IO9" s="3"/>
      <c r="IP9" s="3"/>
      <c r="IQ9" s="3"/>
      <c r="IR9" s="3"/>
      <c r="IS9" s="3"/>
    </row>
    <row r="10" spans="1:253" s="2" customFormat="1" ht="12.75" customHeight="1" x14ac:dyDescent="0.2">
      <c r="A10" s="5" t="s">
        <v>39</v>
      </c>
      <c r="B10" s="5">
        <v>106515327.79000001</v>
      </c>
      <c r="C10" s="6"/>
      <c r="D10" s="7"/>
      <c r="E10" s="6">
        <f>20803934.68+9497143.72</f>
        <v>30301078.399999999</v>
      </c>
      <c r="F10" s="6">
        <v>8664686.6300000008</v>
      </c>
      <c r="G10" s="6">
        <f t="shared" si="2"/>
        <v>21636391.769999996</v>
      </c>
      <c r="H10" s="12"/>
      <c r="I10" s="6"/>
      <c r="J10" s="6">
        <f>9703546.36+G10+1322685.35</f>
        <v>32662623.479999997</v>
      </c>
      <c r="K10" s="6">
        <v>9732303.5899999999</v>
      </c>
      <c r="L10" s="6">
        <f t="shared" si="3"/>
        <v>22930319.889999997</v>
      </c>
      <c r="M10" s="7">
        <f t="shared" si="4"/>
        <v>18396990.219999999</v>
      </c>
      <c r="N10" s="13"/>
      <c r="O10" s="13"/>
      <c r="P10" s="6">
        <f>9400829.8+L10+6978441.01</f>
        <v>39309590.699999996</v>
      </c>
      <c r="Q10" s="6">
        <v>10445120.560000001</v>
      </c>
      <c r="R10" s="6">
        <f t="shared" si="5"/>
        <v>28864470.139999993</v>
      </c>
      <c r="S10" s="12"/>
      <c r="T10" s="12"/>
      <c r="U10" s="6">
        <f>8206473.44+R10+2290409.09</f>
        <v>39361352.669999987</v>
      </c>
      <c r="V10" s="6">
        <v>10610846.92</v>
      </c>
      <c r="W10" s="6">
        <f t="shared" si="13"/>
        <v>28750505.749999985</v>
      </c>
      <c r="X10" s="9">
        <f t="shared" si="6"/>
        <v>21055967.48</v>
      </c>
      <c r="Y10" s="8"/>
      <c r="Z10" s="8"/>
      <c r="AA10" s="8">
        <f>7058557.74+W10+2285487.28</f>
        <v>38094550.769999988</v>
      </c>
      <c r="AB10" s="8">
        <v>11775700.73</v>
      </c>
      <c r="AC10" s="8">
        <f t="shared" si="7"/>
        <v>26318850.039999988</v>
      </c>
      <c r="AD10" s="10"/>
      <c r="AE10" s="10"/>
      <c r="AF10" s="8">
        <f>7665908.15+AC10+2726250.28</f>
        <v>36711008.469999991</v>
      </c>
      <c r="AG10" s="8">
        <v>10203398.970000001</v>
      </c>
      <c r="AH10" s="8">
        <f t="shared" si="1"/>
        <v>26507609.499999993</v>
      </c>
      <c r="AI10" s="7">
        <f t="shared" si="14"/>
        <v>21979099.700000003</v>
      </c>
      <c r="AJ10" s="8"/>
      <c r="AK10" s="10"/>
      <c r="AL10" s="8"/>
      <c r="AM10" s="8">
        <f>7506774.25+AH10+5057206.12</f>
        <v>39071589.86999999</v>
      </c>
      <c r="AN10" s="8">
        <v>12309325.42</v>
      </c>
      <c r="AO10" s="8">
        <f t="shared" si="15"/>
        <v>26762264.449999988</v>
      </c>
      <c r="AP10" s="10"/>
      <c r="AQ10" s="10"/>
      <c r="AR10" s="8">
        <f>8302443.75+AO10+2127337.67</f>
        <v>37192045.86999999</v>
      </c>
      <c r="AS10" s="8">
        <v>11007749.84</v>
      </c>
      <c r="AT10" s="8">
        <f t="shared" si="8"/>
        <v>26184296.02999999</v>
      </c>
      <c r="AU10" s="7">
        <f t="shared" si="9"/>
        <v>23317075.259999998</v>
      </c>
      <c r="AV10" s="10"/>
      <c r="AW10" s="10"/>
      <c r="AX10" s="10"/>
      <c r="AY10" s="8">
        <f>7213324.52+AT10</f>
        <v>33397620.54999999</v>
      </c>
      <c r="AZ10" s="8"/>
      <c r="BA10" s="8">
        <f t="shared" si="10"/>
        <v>33397620.54999999</v>
      </c>
      <c r="BB10" s="10"/>
      <c r="BC10" s="10"/>
      <c r="BD10" s="8">
        <v>7566635.8499999996</v>
      </c>
      <c r="BE10" s="8"/>
      <c r="BF10" s="8">
        <f t="shared" si="11"/>
        <v>7566635.8499999996</v>
      </c>
      <c r="BG10" s="7">
        <f t="shared" si="16"/>
        <v>40964256.399999991</v>
      </c>
      <c r="BH10" s="10"/>
      <c r="BI10" s="10"/>
      <c r="BJ10" s="10"/>
      <c r="BK10" s="8">
        <v>7750268.2800000003</v>
      </c>
      <c r="BL10" s="8"/>
      <c r="BM10" s="10"/>
      <c r="BN10" s="10"/>
      <c r="BO10" s="10"/>
      <c r="BP10" s="8">
        <v>5336630.97</v>
      </c>
      <c r="BQ10" s="8"/>
      <c r="BR10" s="10"/>
      <c r="BS10" s="9">
        <f t="shared" si="12"/>
        <v>138800288.31</v>
      </c>
      <c r="BT10" s="9"/>
      <c r="BU10" s="11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2.75" customHeight="1" x14ac:dyDescent="0.2">
      <c r="A11" s="5" t="s">
        <v>29</v>
      </c>
      <c r="B11" s="5">
        <v>181821484.84</v>
      </c>
      <c r="C11" s="6"/>
      <c r="D11" s="7"/>
      <c r="E11" s="6">
        <f>35512281.47+15512902.13</f>
        <v>51025183.600000001</v>
      </c>
      <c r="F11" s="6">
        <v>9720777.0399999991</v>
      </c>
      <c r="G11" s="6">
        <f t="shared" si="2"/>
        <v>41304406.560000002</v>
      </c>
      <c r="H11" s="6"/>
      <c r="I11" s="6"/>
      <c r="J11" s="6">
        <f>16563937.27+G11+1634101.05</f>
        <v>59502444.879999995</v>
      </c>
      <c r="K11" s="6">
        <v>9939335.6699999999</v>
      </c>
      <c r="L11" s="6">
        <f t="shared" si="3"/>
        <v>49563109.209999993</v>
      </c>
      <c r="M11" s="7">
        <f>F11+K11</f>
        <v>19660112.710000001</v>
      </c>
      <c r="N11" s="13"/>
      <c r="O11" s="13"/>
      <c r="P11" s="6">
        <f>16047200.61+L11+600000</f>
        <v>66210309.819999993</v>
      </c>
      <c r="Q11" s="6">
        <v>10899129.130000001</v>
      </c>
      <c r="R11" s="6">
        <f>P11-Q11</f>
        <v>55311180.68999999</v>
      </c>
      <c r="S11" s="12"/>
      <c r="T11" s="12"/>
      <c r="U11" s="6">
        <f>14008436.3+R11+2143681.17</f>
        <v>71463298.159999996</v>
      </c>
      <c r="V11" s="6">
        <v>12233760.24</v>
      </c>
      <c r="W11" s="6">
        <f>U11-V11</f>
        <v>59229537.919999994</v>
      </c>
      <c r="X11" s="9">
        <f t="shared" si="6"/>
        <v>23132889.370000001</v>
      </c>
      <c r="Y11" s="8"/>
      <c r="Z11" s="8"/>
      <c r="AA11" s="8">
        <f>12048946.16+W11</f>
        <v>71278484.079999998</v>
      </c>
      <c r="AB11" s="8">
        <v>13302182.210000001</v>
      </c>
      <c r="AC11" s="8">
        <f t="shared" si="7"/>
        <v>57976301.869999997</v>
      </c>
      <c r="AD11" s="10"/>
      <c r="AE11" s="10"/>
      <c r="AF11" s="6">
        <f>13085692.26+AC11+5518500</f>
        <v>76580494.129999995</v>
      </c>
      <c r="AG11" s="8">
        <v>13314053.039999999</v>
      </c>
      <c r="AH11" s="8">
        <f t="shared" si="1"/>
        <v>63266441.089999996</v>
      </c>
      <c r="AI11" s="7">
        <f t="shared" si="14"/>
        <v>26616235.25</v>
      </c>
      <c r="AJ11" s="8" t="e">
        <f>#REF!+AI11</f>
        <v>#REF!</v>
      </c>
      <c r="AK11" s="10"/>
      <c r="AL11" s="8"/>
      <c r="AM11" s="6">
        <f>12814050.98+AH11+1130000</f>
        <v>77210492.069999993</v>
      </c>
      <c r="AN11" s="8">
        <v>14836286.27</v>
      </c>
      <c r="AO11" s="8">
        <f t="shared" si="15"/>
        <v>62374205.799999997</v>
      </c>
      <c r="AP11" s="10"/>
      <c r="AQ11" s="10"/>
      <c r="AR11" s="6">
        <f>14172257.47+AO11+3627500</f>
        <v>80173963.269999996</v>
      </c>
      <c r="AS11" s="8">
        <v>14836920.67</v>
      </c>
      <c r="AT11" s="8">
        <f t="shared" si="8"/>
        <v>65337042.599999994</v>
      </c>
      <c r="AU11" s="7">
        <f t="shared" si="9"/>
        <v>29673206.939999998</v>
      </c>
      <c r="AV11" s="10" t="e">
        <f t="shared" si="0"/>
        <v>#REF!</v>
      </c>
      <c r="AW11" s="10"/>
      <c r="AX11" s="10"/>
      <c r="AY11" s="6">
        <f>12313132.76+AT11</f>
        <v>77650175.359999999</v>
      </c>
      <c r="AZ11" s="8"/>
      <c r="BA11" s="8">
        <f t="shared" si="10"/>
        <v>77650175.359999999</v>
      </c>
      <c r="BB11" s="10"/>
      <c r="BC11" s="10"/>
      <c r="BD11" s="6">
        <v>12916234.640000001</v>
      </c>
      <c r="BE11" s="8"/>
      <c r="BF11" s="8">
        <f t="shared" si="11"/>
        <v>12916234.640000001</v>
      </c>
      <c r="BG11" s="7">
        <f t="shared" si="16"/>
        <v>90566410</v>
      </c>
      <c r="BH11" s="10"/>
      <c r="BI11" s="10"/>
      <c r="BJ11" s="10"/>
      <c r="BK11" s="6">
        <v>13229694.890000001</v>
      </c>
      <c r="BL11" s="8"/>
      <c r="BM11" s="10"/>
      <c r="BN11" s="10"/>
      <c r="BO11" s="10"/>
      <c r="BP11" s="8">
        <f>9109620.03</f>
        <v>9109620.0299999993</v>
      </c>
      <c r="BQ11" s="8"/>
      <c r="BR11" s="10"/>
      <c r="BS11" s="9">
        <f t="shared" si="12"/>
        <v>211988169.18999997</v>
      </c>
      <c r="BT11" s="9"/>
      <c r="BU11" s="11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2.75" customHeight="1" x14ac:dyDescent="0.2">
      <c r="A12" s="5" t="s">
        <v>43</v>
      </c>
      <c r="B12" s="5">
        <v>5755000</v>
      </c>
      <c r="C12" s="6"/>
      <c r="D12" s="7"/>
      <c r="E12" s="6">
        <f>1124032.05+4127297.19</f>
        <v>5251329.24</v>
      </c>
      <c r="F12" s="6">
        <v>662818.87</v>
      </c>
      <c r="G12" s="6">
        <f t="shared" si="2"/>
        <v>4588510.37</v>
      </c>
      <c r="H12" s="6"/>
      <c r="I12" s="6"/>
      <c r="J12" s="6">
        <f>524280.5+G12</f>
        <v>5112790.87</v>
      </c>
      <c r="K12" s="6">
        <v>382215.7</v>
      </c>
      <c r="L12" s="6">
        <f t="shared" si="3"/>
        <v>4730575.17</v>
      </c>
      <c r="M12" s="7">
        <f t="shared" si="4"/>
        <v>1045034.5700000001</v>
      </c>
      <c r="N12" s="13"/>
      <c r="O12" s="13"/>
      <c r="P12" s="6">
        <f>507924.8+L12+10000</f>
        <v>5248499.97</v>
      </c>
      <c r="Q12" s="6">
        <v>456815.57</v>
      </c>
      <c r="R12" s="6">
        <f t="shared" si="5"/>
        <v>4791684.3999999994</v>
      </c>
      <c r="S12" s="12"/>
      <c r="T12" s="12"/>
      <c r="U12" s="6">
        <f>443393.98+R12+259000</f>
        <v>5494078.379999999</v>
      </c>
      <c r="V12" s="6">
        <v>497829.54</v>
      </c>
      <c r="W12" s="6">
        <f t="shared" si="13"/>
        <v>4996248.8399999989</v>
      </c>
      <c r="X12" s="9">
        <f t="shared" si="6"/>
        <v>954645.11</v>
      </c>
      <c r="Y12" s="8"/>
      <c r="Z12" s="8"/>
      <c r="AA12" s="8">
        <f>381372.34+W12+150200</f>
        <v>5527821.1799999988</v>
      </c>
      <c r="AB12" s="8">
        <v>390951.54</v>
      </c>
      <c r="AC12" s="8">
        <f t="shared" si="7"/>
        <v>5136869.6399999987</v>
      </c>
      <c r="AD12" s="10"/>
      <c r="AE12" s="10"/>
      <c r="AF12" s="8">
        <f>414187.35+AC12+15000</f>
        <v>5566056.9899999984</v>
      </c>
      <c r="AG12" s="8">
        <v>521372.55</v>
      </c>
      <c r="AH12" s="8">
        <f t="shared" si="1"/>
        <v>5044684.4399999985</v>
      </c>
      <c r="AI12" s="7">
        <f t="shared" si="14"/>
        <v>912324.09</v>
      </c>
      <c r="AJ12" s="8"/>
      <c r="AK12" s="10"/>
      <c r="AL12" s="8"/>
      <c r="AM12" s="8">
        <f>405589.39+AH12-1104300</f>
        <v>4345973.8299999982</v>
      </c>
      <c r="AN12" s="8">
        <v>410457.27</v>
      </c>
      <c r="AO12" s="8">
        <f t="shared" si="15"/>
        <v>3935516.5599999982</v>
      </c>
      <c r="AP12" s="10"/>
      <c r="AQ12" s="10"/>
      <c r="AR12" s="8">
        <f>448579.23+AO12-659580.56</f>
        <v>3724515.2299999981</v>
      </c>
      <c r="AS12" s="8">
        <v>64899.28</v>
      </c>
      <c r="AT12" s="8">
        <f t="shared" si="8"/>
        <v>3659615.9499999983</v>
      </c>
      <c r="AU12" s="7">
        <f t="shared" si="9"/>
        <v>475356.55000000005</v>
      </c>
      <c r="AV12" s="10"/>
      <c r="AW12" s="10"/>
      <c r="AX12" s="10"/>
      <c r="AY12" s="8">
        <f>389734.35+AT12</f>
        <v>4049350.2999999984</v>
      </c>
      <c r="AZ12" s="8"/>
      <c r="BA12" s="8">
        <f t="shared" si="10"/>
        <v>4049350.2999999984</v>
      </c>
      <c r="BB12" s="10"/>
      <c r="BC12" s="10"/>
      <c r="BD12" s="8">
        <v>408823.69</v>
      </c>
      <c r="BE12" s="8"/>
      <c r="BF12" s="8">
        <f t="shared" si="11"/>
        <v>408823.69</v>
      </c>
      <c r="BG12" s="7">
        <f t="shared" si="16"/>
        <v>4458173.9899999984</v>
      </c>
      <c r="BH12" s="10"/>
      <c r="BI12" s="10"/>
      <c r="BJ12" s="10"/>
      <c r="BK12" s="8">
        <v>418745.31</v>
      </c>
      <c r="BL12" s="8"/>
      <c r="BM12" s="10"/>
      <c r="BN12" s="10"/>
      <c r="BO12" s="10"/>
      <c r="BP12" s="8">
        <v>288337.01</v>
      </c>
      <c r="BQ12" s="8"/>
      <c r="BR12" s="10"/>
      <c r="BS12" s="9">
        <f t="shared" si="12"/>
        <v>8552616.629999999</v>
      </c>
      <c r="BT12" s="9"/>
      <c r="BU12" s="11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2.75" customHeight="1" x14ac:dyDescent="0.2">
      <c r="A13" s="5" t="s">
        <v>44</v>
      </c>
      <c r="B13" s="5">
        <v>9996085.4399999995</v>
      </c>
      <c r="C13" s="6"/>
      <c r="D13" s="7"/>
      <c r="E13" s="6">
        <f>1952375.38+5932546.4</f>
        <v>7884921.7800000003</v>
      </c>
      <c r="F13" s="6">
        <v>1178339.3400000001</v>
      </c>
      <c r="G13" s="6">
        <f t="shared" si="2"/>
        <v>6706582.4400000004</v>
      </c>
      <c r="H13" s="6"/>
      <c r="I13" s="6"/>
      <c r="J13" s="6">
        <f>910643.39+G13+694577.21</f>
        <v>8311803.04</v>
      </c>
      <c r="K13" s="6">
        <v>818848.78</v>
      </c>
      <c r="L13" s="6">
        <f t="shared" si="3"/>
        <v>7492954.2599999998</v>
      </c>
      <c r="M13" s="7">
        <f t="shared" si="4"/>
        <v>1997188.12</v>
      </c>
      <c r="N13" s="13"/>
      <c r="O13" s="13"/>
      <c r="P13" s="6">
        <f>882234.52+L13+435500</f>
        <v>8810688.7799999993</v>
      </c>
      <c r="Q13" s="6">
        <v>1246183.98</v>
      </c>
      <c r="R13" s="6">
        <f t="shared" si="5"/>
        <v>7564504.7999999989</v>
      </c>
      <c r="S13" s="12"/>
      <c r="T13" s="12"/>
      <c r="U13" s="6">
        <f>770148.39+R13+621400</f>
        <v>8956053.1899999976</v>
      </c>
      <c r="V13" s="6">
        <v>1410881.1</v>
      </c>
      <c r="W13" s="6">
        <f t="shared" si="13"/>
        <v>7545172.089999998</v>
      </c>
      <c r="X13" s="9">
        <f t="shared" si="6"/>
        <v>2657065.08</v>
      </c>
      <c r="Y13" s="8"/>
      <c r="Z13" s="8"/>
      <c r="AA13" s="8">
        <f>662420.6+W13+1230900</f>
        <v>9438492.6899999976</v>
      </c>
      <c r="AB13" s="8">
        <v>1257232.73</v>
      </c>
      <c r="AC13" s="8">
        <f t="shared" si="7"/>
        <v>8181259.9599999972</v>
      </c>
      <c r="AD13" s="10"/>
      <c r="AE13" s="10"/>
      <c r="AF13" s="8">
        <f>719418.27+AC13+1540431.61</f>
        <v>10441109.839999996</v>
      </c>
      <c r="AG13" s="8">
        <v>1091670.47</v>
      </c>
      <c r="AH13" s="8">
        <f t="shared" si="1"/>
        <v>9349439.3699999955</v>
      </c>
      <c r="AI13" s="7">
        <f t="shared" si="14"/>
        <v>2348903.2000000002</v>
      </c>
      <c r="AJ13" s="8" t="e">
        <f>#REF!+AI13</f>
        <v>#REF!</v>
      </c>
      <c r="AK13" s="10"/>
      <c r="AL13" s="8"/>
      <c r="AM13" s="8">
        <f>704484.13+AH13+75000</f>
        <v>10128923.499999996</v>
      </c>
      <c r="AN13" s="8">
        <v>1191172.49</v>
      </c>
      <c r="AO13" s="8">
        <f t="shared" si="15"/>
        <v>8937751.0099999961</v>
      </c>
      <c r="AP13" s="10"/>
      <c r="AQ13" s="10"/>
      <c r="AR13" s="8">
        <f>779154.89+AO13+10000</f>
        <v>9726905.8999999966</v>
      </c>
      <c r="AS13" s="8">
        <v>1553096.77</v>
      </c>
      <c r="AT13" s="8">
        <f t="shared" si="8"/>
        <v>8173809.1299999971</v>
      </c>
      <c r="AU13" s="7">
        <f t="shared" si="9"/>
        <v>2744269.26</v>
      </c>
      <c r="AV13" s="10" t="e">
        <f t="shared" si="0"/>
        <v>#REF!</v>
      </c>
      <c r="AW13" s="10"/>
      <c r="AX13" s="10"/>
      <c r="AY13" s="8">
        <f>676944.91+AT13</f>
        <v>8850754.0399999972</v>
      </c>
      <c r="AZ13" s="8"/>
      <c r="BA13" s="8">
        <f t="shared" si="10"/>
        <v>8850754.0399999972</v>
      </c>
      <c r="BB13" s="10"/>
      <c r="BC13" s="10"/>
      <c r="BD13" s="8">
        <v>710101.93</v>
      </c>
      <c r="BE13" s="8"/>
      <c r="BF13" s="8">
        <f>BD13-BE13</f>
        <v>710101.93</v>
      </c>
      <c r="BG13" s="7">
        <f t="shared" si="16"/>
        <v>9560855.9699999969</v>
      </c>
      <c r="BH13" s="10"/>
      <c r="BI13" s="10"/>
      <c r="BJ13" s="10"/>
      <c r="BK13" s="8">
        <v>727335.16</v>
      </c>
      <c r="BL13" s="8"/>
      <c r="BM13" s="10"/>
      <c r="BN13" s="10"/>
      <c r="BO13" s="10"/>
      <c r="BP13" s="8">
        <v>500823.87</v>
      </c>
      <c r="BQ13" s="8"/>
      <c r="BR13" s="10"/>
      <c r="BS13" s="9">
        <f t="shared" si="12"/>
        <v>20536440.659999996</v>
      </c>
      <c r="BT13" s="9"/>
      <c r="BU13" s="11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2.75" customHeight="1" x14ac:dyDescent="0.2">
      <c r="A14" s="5" t="s">
        <v>45</v>
      </c>
      <c r="B14" s="5">
        <v>5666471.6799999997</v>
      </c>
      <c r="C14" s="6"/>
      <c r="D14" s="7"/>
      <c r="E14" s="6">
        <f>1106741.25+201000</f>
        <v>1307741.25</v>
      </c>
      <c r="F14" s="6">
        <v>336793.59999999998</v>
      </c>
      <c r="G14" s="6">
        <f t="shared" si="2"/>
        <v>970947.65</v>
      </c>
      <c r="H14" s="6"/>
      <c r="I14" s="6"/>
      <c r="J14" s="6">
        <f>516215.58+G14+68500</f>
        <v>1555663.23</v>
      </c>
      <c r="K14" s="6">
        <v>375506.72</v>
      </c>
      <c r="L14" s="6">
        <f>J14-K14</f>
        <v>1180156.51</v>
      </c>
      <c r="M14" s="7">
        <f t="shared" si="4"/>
        <v>712300.32</v>
      </c>
      <c r="N14" s="6"/>
      <c r="O14" s="13"/>
      <c r="P14" s="6">
        <f>500111.46+L14+594000</f>
        <v>2274267.9699999997</v>
      </c>
      <c r="Q14" s="6">
        <v>338440.89</v>
      </c>
      <c r="R14" s="6">
        <f>P14-Q14</f>
        <v>1935827.0799999996</v>
      </c>
      <c r="S14" s="12"/>
      <c r="T14" s="12"/>
      <c r="U14" s="6">
        <f>436573.32+R14+502850</f>
        <v>2875250.3999999994</v>
      </c>
      <c r="V14" s="6">
        <v>536085.25</v>
      </c>
      <c r="W14" s="6">
        <f>U14-V14</f>
        <v>2339165.1499999994</v>
      </c>
      <c r="X14" s="9">
        <f t="shared" si="6"/>
        <v>874526.14</v>
      </c>
      <c r="Y14" s="8"/>
      <c r="Z14" s="8"/>
      <c r="AA14" s="8">
        <f>375505.75+W14</f>
        <v>2714670.8999999994</v>
      </c>
      <c r="AB14" s="8">
        <v>508265.89</v>
      </c>
      <c r="AC14" s="8">
        <f t="shared" si="7"/>
        <v>2206405.0099999993</v>
      </c>
      <c r="AD14" s="10"/>
      <c r="AE14" s="10"/>
      <c r="AF14" s="8">
        <f>407815.96+AC14</f>
        <v>2614220.9699999993</v>
      </c>
      <c r="AG14" s="8">
        <v>367619.22</v>
      </c>
      <c r="AH14" s="8">
        <f t="shared" si="1"/>
        <v>2246601.7499999991</v>
      </c>
      <c r="AI14" s="7">
        <f t="shared" si="14"/>
        <v>875885.11</v>
      </c>
      <c r="AJ14" s="8"/>
      <c r="AK14" s="10"/>
      <c r="AL14" s="8"/>
      <c r="AM14" s="8">
        <f>399350.26+AH14+539000</f>
        <v>3184952.0099999988</v>
      </c>
      <c r="AN14" s="8">
        <v>426490.45</v>
      </c>
      <c r="AO14" s="8">
        <f t="shared" si="15"/>
        <v>2758461.5599999987</v>
      </c>
      <c r="AP14" s="10"/>
      <c r="AQ14" s="10"/>
      <c r="AR14" s="8">
        <f>441678.79+AO14+770995.84</f>
        <v>3971136.1899999985</v>
      </c>
      <c r="AS14" s="8">
        <v>737663.83</v>
      </c>
      <c r="AT14" s="8">
        <f t="shared" si="8"/>
        <v>3233472.3599999985</v>
      </c>
      <c r="AU14" s="7">
        <f t="shared" si="9"/>
        <v>1164154.28</v>
      </c>
      <c r="AV14" s="10"/>
      <c r="AW14" s="10"/>
      <c r="AX14" s="10"/>
      <c r="AY14" s="8">
        <f>383739.13+AT14</f>
        <v>3617211.4899999984</v>
      </c>
      <c r="AZ14" s="8"/>
      <c r="BA14" s="8">
        <f t="shared" si="10"/>
        <v>3617211.4899999984</v>
      </c>
      <c r="BB14" s="10"/>
      <c r="BC14" s="10"/>
      <c r="BD14" s="8">
        <v>402534.81</v>
      </c>
      <c r="BE14" s="8"/>
      <c r="BF14" s="8">
        <f t="shared" si="11"/>
        <v>402534.81</v>
      </c>
      <c r="BG14" s="7">
        <f t="shared" si="16"/>
        <v>4019746.2999999984</v>
      </c>
      <c r="BH14" s="10"/>
      <c r="BI14" s="10"/>
      <c r="BJ14" s="10"/>
      <c r="BK14" s="8">
        <v>412303.81</v>
      </c>
      <c r="BL14" s="8"/>
      <c r="BM14" s="10"/>
      <c r="BN14" s="10"/>
      <c r="BO14" s="10"/>
      <c r="BP14" s="8">
        <v>283901.56</v>
      </c>
      <c r="BQ14" s="8"/>
      <c r="BR14" s="10"/>
      <c r="BS14" s="9">
        <f t="shared" si="12"/>
        <v>8342817.5199999977</v>
      </c>
      <c r="BT14" s="9"/>
      <c r="BU14" s="11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2.75" customHeight="1" x14ac:dyDescent="0.2">
      <c r="A15" s="5" t="s">
        <v>46</v>
      </c>
      <c r="B15" s="5">
        <v>2844969.88</v>
      </c>
      <c r="C15" s="6"/>
      <c r="D15" s="7"/>
      <c r="E15" s="6">
        <f>555662.42+340500</f>
        <v>896162.42</v>
      </c>
      <c r="F15" s="6">
        <v>237774.53</v>
      </c>
      <c r="G15" s="6">
        <f t="shared" si="2"/>
        <v>658387.89</v>
      </c>
      <c r="H15" s="6"/>
      <c r="I15" s="6"/>
      <c r="J15" s="6">
        <f>259176.76+G15+40000</f>
        <v>957564.65</v>
      </c>
      <c r="K15" s="6">
        <v>232053.91</v>
      </c>
      <c r="L15" s="6">
        <f t="shared" si="3"/>
        <v>725510.74</v>
      </c>
      <c r="M15" s="7">
        <f t="shared" si="4"/>
        <v>469828.44</v>
      </c>
      <c r="N15" s="6"/>
      <c r="O15" s="13"/>
      <c r="P15" s="6">
        <f>251091.35+L15+37000</f>
        <v>1013602.09</v>
      </c>
      <c r="Q15" s="6">
        <v>237806.78</v>
      </c>
      <c r="R15" s="6">
        <f t="shared" si="5"/>
        <v>775795.30999999994</v>
      </c>
      <c r="S15" s="12"/>
      <c r="T15" s="12"/>
      <c r="U15" s="6">
        <f>219190.7+R15+50100</f>
        <v>1045086.01</v>
      </c>
      <c r="V15" s="6">
        <v>220962.47</v>
      </c>
      <c r="W15" s="6">
        <f t="shared" si="13"/>
        <v>824123.54</v>
      </c>
      <c r="X15" s="9">
        <f t="shared" si="6"/>
        <v>458769.25</v>
      </c>
      <c r="Y15" s="8"/>
      <c r="Z15" s="8"/>
      <c r="AA15" s="8">
        <f>188530.47+W15+10000</f>
        <v>1022654.01</v>
      </c>
      <c r="AB15" s="8">
        <v>266252.3</v>
      </c>
      <c r="AC15" s="8">
        <f t="shared" si="7"/>
        <v>756401.71</v>
      </c>
      <c r="AD15" s="10"/>
      <c r="AE15" s="10"/>
      <c r="AF15" s="8">
        <f>204752.48+AC15+70000</f>
        <v>1031154.19</v>
      </c>
      <c r="AG15" s="8">
        <v>753687.38</v>
      </c>
      <c r="AH15" s="8">
        <f t="shared" si="1"/>
        <v>277466.80999999994</v>
      </c>
      <c r="AI15" s="7">
        <f t="shared" si="14"/>
        <v>1019939.6799999999</v>
      </c>
      <c r="AJ15" s="8" t="e">
        <f>#REF!+AI15</f>
        <v>#REF!</v>
      </c>
      <c r="AK15" s="10"/>
      <c r="AL15" s="8"/>
      <c r="AM15" s="8">
        <f>200502.11+AH15+255000+10000</f>
        <v>742968.91999999993</v>
      </c>
      <c r="AN15" s="8">
        <v>738832.27</v>
      </c>
      <c r="AO15" s="8">
        <f t="shared" si="15"/>
        <v>4136.6499999999069</v>
      </c>
      <c r="AP15" s="10"/>
      <c r="AQ15" s="10"/>
      <c r="AR15" s="8">
        <f>221754.03+AO15+1969200</f>
        <v>2195090.6799999997</v>
      </c>
      <c r="AS15" s="8">
        <v>730362.51</v>
      </c>
      <c r="AT15" s="8">
        <f t="shared" si="8"/>
        <v>1464728.1699999997</v>
      </c>
      <c r="AU15" s="7">
        <f t="shared" si="9"/>
        <v>1469194.78</v>
      </c>
      <c r="AV15" s="10" t="e">
        <f t="shared" si="0"/>
        <v>#REF!</v>
      </c>
      <c r="AW15" s="10"/>
      <c r="AX15" s="10"/>
      <c r="AY15" s="8">
        <f>192664.2+AT15</f>
        <v>1657392.3699999996</v>
      </c>
      <c r="AZ15" s="8"/>
      <c r="BA15" s="8">
        <f t="shared" si="10"/>
        <v>1657392.3699999996</v>
      </c>
      <c r="BB15" s="10"/>
      <c r="BC15" s="10"/>
      <c r="BD15" s="8">
        <v>202100.98</v>
      </c>
      <c r="BE15" s="8"/>
      <c r="BF15" s="8">
        <f t="shared" si="11"/>
        <v>202100.98</v>
      </c>
      <c r="BG15" s="7">
        <f t="shared" si="16"/>
        <v>1859493.3499999996</v>
      </c>
      <c r="BH15" s="10"/>
      <c r="BI15" s="10"/>
      <c r="BJ15" s="10"/>
      <c r="BK15" s="8">
        <v>207005.7</v>
      </c>
      <c r="BL15" s="8"/>
      <c r="BM15" s="10"/>
      <c r="BN15" s="10"/>
      <c r="BO15" s="10"/>
      <c r="BP15" s="8">
        <f>142538.68-10000</f>
        <v>132538.68</v>
      </c>
      <c r="BQ15" s="8"/>
      <c r="BR15" s="10"/>
      <c r="BS15" s="9">
        <f t="shared" si="12"/>
        <v>5616769.8799999999</v>
      </c>
      <c r="BT15" s="9"/>
      <c r="BU15" s="11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2.75" customHeight="1" x14ac:dyDescent="0.2">
      <c r="A16" s="5" t="s">
        <v>47</v>
      </c>
      <c r="B16" s="5">
        <v>43870000</v>
      </c>
      <c r="C16" s="6"/>
      <c r="D16" s="7"/>
      <c r="E16" s="6">
        <f>8568425.18+233500</f>
        <v>8801925.1799999997</v>
      </c>
      <c r="F16" s="6">
        <v>906804.54</v>
      </c>
      <c r="G16" s="6">
        <f t="shared" si="2"/>
        <v>7895120.6399999997</v>
      </c>
      <c r="H16" s="6"/>
      <c r="I16" s="6"/>
      <c r="J16" s="6">
        <f>3996557+G16+4000</f>
        <v>11895677.640000001</v>
      </c>
      <c r="K16" s="6">
        <v>801992.99</v>
      </c>
      <c r="L16" s="6">
        <f t="shared" si="3"/>
        <v>11093684.65</v>
      </c>
      <c r="M16" s="7">
        <f t="shared" si="4"/>
        <v>1708797.53</v>
      </c>
      <c r="N16" s="6"/>
      <c r="O16" s="13"/>
      <c r="P16" s="6">
        <f>3871878.46+L16+712454.3</f>
        <v>15678017.41</v>
      </c>
      <c r="Q16" s="6">
        <v>1799400.53</v>
      </c>
      <c r="R16" s="6">
        <f t="shared" si="5"/>
        <v>13878616.880000001</v>
      </c>
      <c r="S16" s="12"/>
      <c r="T16" s="12"/>
      <c r="U16" s="6">
        <f>3379964.15+R16</f>
        <v>17258581.030000001</v>
      </c>
      <c r="V16" s="6">
        <v>782714.08</v>
      </c>
      <c r="W16" s="6">
        <f t="shared" si="13"/>
        <v>16475866.950000001</v>
      </c>
      <c r="X16" s="9">
        <f t="shared" si="6"/>
        <v>2582114.61</v>
      </c>
      <c r="Y16" s="8"/>
      <c r="Z16" s="8"/>
      <c r="AA16" s="8">
        <f>2907177.16+W16-10000</f>
        <v>19373044.109999999</v>
      </c>
      <c r="AB16" s="8">
        <v>1603314.6</v>
      </c>
      <c r="AC16" s="8">
        <f t="shared" si="7"/>
        <v>17769729.509999998</v>
      </c>
      <c r="AD16" s="10"/>
      <c r="AE16" s="10"/>
      <c r="AF16" s="8">
        <f>3157323.9+AC16</f>
        <v>20927053.409999996</v>
      </c>
      <c r="AG16" s="8">
        <v>314797.99</v>
      </c>
      <c r="AH16" s="8">
        <f t="shared" si="1"/>
        <v>20612255.419999998</v>
      </c>
      <c r="AI16" s="7">
        <f t="shared" si="14"/>
        <v>1918112.59</v>
      </c>
      <c r="AJ16" s="8" t="e">
        <f>#REF!+AI16</f>
        <v>#REF!</v>
      </c>
      <c r="AK16" s="10"/>
      <c r="AL16" s="8"/>
      <c r="AM16" s="8">
        <f>3091782.13+AH16-301000</f>
        <v>23403037.549999997</v>
      </c>
      <c r="AN16" s="8">
        <v>363390.07</v>
      </c>
      <c r="AO16" s="8">
        <f t="shared" si="15"/>
        <v>23039647.479999997</v>
      </c>
      <c r="AP16" s="10"/>
      <c r="AQ16" s="10"/>
      <c r="AR16" s="8">
        <f>3419491.02+AO16-1450000</f>
        <v>25009138.499999996</v>
      </c>
      <c r="AS16" s="8">
        <v>726413.92</v>
      </c>
      <c r="AT16" s="8">
        <f t="shared" si="8"/>
        <v>24282724.579999994</v>
      </c>
      <c r="AU16" s="7">
        <f t="shared" si="9"/>
        <v>1089803.99</v>
      </c>
      <c r="AV16" s="10" t="e">
        <f t="shared" si="0"/>
        <v>#REF!</v>
      </c>
      <c r="AW16" s="10"/>
      <c r="AX16" s="10"/>
      <c r="AY16" s="8">
        <f>2970920.26+AT16</f>
        <v>27253644.839999996</v>
      </c>
      <c r="AZ16" s="8"/>
      <c r="BA16" s="8">
        <f t="shared" si="10"/>
        <v>27253644.839999996</v>
      </c>
      <c r="BB16" s="10"/>
      <c r="BC16" s="10"/>
      <c r="BD16" s="8">
        <v>3116437.05</v>
      </c>
      <c r="BE16" s="8"/>
      <c r="BF16" s="8">
        <f t="shared" si="11"/>
        <v>3116437.05</v>
      </c>
      <c r="BG16" s="7">
        <f t="shared" si="16"/>
        <v>30370081.889999997</v>
      </c>
      <c r="BH16" s="10"/>
      <c r="BI16" s="10"/>
      <c r="BJ16" s="10"/>
      <c r="BK16" s="8">
        <v>3192068.95</v>
      </c>
      <c r="BL16" s="8"/>
      <c r="BM16" s="10"/>
      <c r="BN16" s="10"/>
      <c r="BO16" s="10"/>
      <c r="BP16" s="8">
        <v>2197974.7400000002</v>
      </c>
      <c r="BQ16" s="8"/>
      <c r="BR16" s="10"/>
      <c r="BS16" s="9">
        <f t="shared" si="12"/>
        <v>43058954.300000004</v>
      </c>
      <c r="BT16" s="9"/>
      <c r="BU16" s="11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x14ac:dyDescent="0.2">
      <c r="A17" s="5" t="s">
        <v>48</v>
      </c>
      <c r="B17" s="5">
        <v>36795238</v>
      </c>
      <c r="C17" s="6"/>
      <c r="D17" s="7"/>
      <c r="E17" s="6">
        <f>7186625.12+23123378.36</f>
        <v>30310003.48</v>
      </c>
      <c r="F17" s="6">
        <v>2813009.99</v>
      </c>
      <c r="G17" s="6">
        <f t="shared" si="2"/>
        <v>27496993.490000002</v>
      </c>
      <c r="H17" s="6"/>
      <c r="I17" s="6"/>
      <c r="J17" s="6">
        <f>3352046.17+G17+1492315.98</f>
        <v>32341355.640000004</v>
      </c>
      <c r="K17" s="6">
        <v>2841016.63</v>
      </c>
      <c r="L17" s="6">
        <f t="shared" si="3"/>
        <v>29500339.010000005</v>
      </c>
      <c r="M17" s="7">
        <f t="shared" si="4"/>
        <v>5654026.6200000001</v>
      </c>
      <c r="N17" s="6"/>
      <c r="O17" s="13"/>
      <c r="P17" s="6">
        <f>3247474.13+L17-15000000+2420450.52</f>
        <v>20168263.660000004</v>
      </c>
      <c r="Q17" s="6">
        <v>4231013.3899999997</v>
      </c>
      <c r="R17" s="6">
        <f t="shared" si="5"/>
        <v>15937250.270000003</v>
      </c>
      <c r="S17" s="12"/>
      <c r="T17" s="12"/>
      <c r="U17" s="6">
        <f>2834889.1+R17+952000</f>
        <v>19724139.370000005</v>
      </c>
      <c r="V17" s="6">
        <v>3724877.36</v>
      </c>
      <c r="W17" s="6">
        <f t="shared" si="13"/>
        <v>15999262.010000005</v>
      </c>
      <c r="X17" s="9">
        <f t="shared" si="6"/>
        <v>7955890.75</v>
      </c>
      <c r="Y17" s="8"/>
      <c r="Z17" s="8"/>
      <c r="AA17" s="8">
        <f>2438346.85+W17+5459934.56</f>
        <v>23897543.420000006</v>
      </c>
      <c r="AB17" s="8">
        <v>5937645.75</v>
      </c>
      <c r="AC17" s="8">
        <f t="shared" si="7"/>
        <v>17959897.670000006</v>
      </c>
      <c r="AD17" s="10"/>
      <c r="AE17" s="10"/>
      <c r="AF17" s="8">
        <f>2648153.27+AC17+967524.27</f>
        <v>21575575.210000005</v>
      </c>
      <c r="AG17" s="8">
        <v>4621107.96</v>
      </c>
      <c r="AH17" s="8">
        <f t="shared" si="1"/>
        <v>16954467.250000004</v>
      </c>
      <c r="AI17" s="7">
        <f t="shared" si="14"/>
        <v>10558753.710000001</v>
      </c>
      <c r="AJ17" s="8"/>
      <c r="AK17" s="10"/>
      <c r="AL17" s="8"/>
      <c r="AM17" s="8">
        <f>2593181.2+AH17+2081000</f>
        <v>21628648.450000003</v>
      </c>
      <c r="AN17" s="8">
        <v>4110682.53</v>
      </c>
      <c r="AO17" s="8">
        <f t="shared" si="15"/>
        <v>17517965.920000002</v>
      </c>
      <c r="AP17" s="10"/>
      <c r="AQ17" s="10"/>
      <c r="AR17" s="8">
        <f>2868041.62+AO17+558100</f>
        <v>20944107.540000003</v>
      </c>
      <c r="AS17" s="8">
        <v>4809799.18</v>
      </c>
      <c r="AT17" s="8">
        <f t="shared" si="8"/>
        <v>16134308.360000003</v>
      </c>
      <c r="AU17" s="7">
        <f t="shared" si="9"/>
        <v>8920481.709999999</v>
      </c>
      <c r="AV17" s="10"/>
      <c r="AW17" s="10"/>
      <c r="AX17" s="10"/>
      <c r="AY17" s="8">
        <f>2491810.31+AT17</f>
        <v>18626118.670000002</v>
      </c>
      <c r="AZ17" s="8"/>
      <c r="BA17" s="8">
        <f>AY17-AZ17</f>
        <v>18626118.670000002</v>
      </c>
      <c r="BB17" s="10"/>
      <c r="BC17" s="10"/>
      <c r="BD17" s="8">
        <f>2613860.12+15000000</f>
        <v>17613860.120000001</v>
      </c>
      <c r="BE17" s="8"/>
      <c r="BF17" s="8">
        <f t="shared" si="11"/>
        <v>17613860.120000001</v>
      </c>
      <c r="BG17" s="7">
        <f t="shared" si="16"/>
        <v>36239978.790000007</v>
      </c>
      <c r="BH17" s="10"/>
      <c r="BI17" s="10"/>
      <c r="BJ17" s="10"/>
      <c r="BK17" s="8">
        <v>2677295.1</v>
      </c>
      <c r="BL17" s="8"/>
      <c r="BM17" s="10"/>
      <c r="BN17" s="10"/>
      <c r="BO17" s="10"/>
      <c r="BP17" s="8">
        <v>1843515.01</v>
      </c>
      <c r="BQ17" s="8"/>
      <c r="BR17" s="10"/>
      <c r="BS17" s="9">
        <f t="shared" si="12"/>
        <v>73849941.690000013</v>
      </c>
      <c r="BT17" s="9"/>
      <c r="BU17" s="11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2.75" customHeight="1" x14ac:dyDescent="0.2">
      <c r="A18" s="5" t="s">
        <v>40</v>
      </c>
      <c r="B18" s="5">
        <v>15889000</v>
      </c>
      <c r="C18" s="6"/>
      <c r="D18" s="7"/>
      <c r="E18" s="6">
        <f>3103344.16+765205</f>
        <v>3868549.16</v>
      </c>
      <c r="F18" s="6">
        <v>872607.69</v>
      </c>
      <c r="G18" s="6">
        <f t="shared" si="2"/>
        <v>2995941.47</v>
      </c>
      <c r="H18" s="6"/>
      <c r="I18" s="6"/>
      <c r="J18" s="6">
        <f>1447487.9+G18</f>
        <v>4443429.37</v>
      </c>
      <c r="K18" s="6">
        <v>1121012</v>
      </c>
      <c r="L18" s="6">
        <f t="shared" si="3"/>
        <v>3322417.37</v>
      </c>
      <c r="M18" s="7">
        <f t="shared" si="4"/>
        <v>1993619.69</v>
      </c>
      <c r="N18" s="6"/>
      <c r="O18" s="13"/>
      <c r="P18" s="6">
        <f>1402331.36+L18-10000</f>
        <v>4714748.7300000004</v>
      </c>
      <c r="Q18" s="6">
        <v>988288.42</v>
      </c>
      <c r="R18" s="6">
        <f t="shared" si="5"/>
        <v>3726460.3100000005</v>
      </c>
      <c r="S18" s="12"/>
      <c r="T18" s="12"/>
      <c r="U18" s="6">
        <f>1224168+R18</f>
        <v>4950628.3100000005</v>
      </c>
      <c r="V18" s="6">
        <v>1092066.48</v>
      </c>
      <c r="W18" s="6">
        <f t="shared" si="13"/>
        <v>3858561.8300000005</v>
      </c>
      <c r="X18" s="9">
        <f>Q18+V18</f>
        <v>2080354.9</v>
      </c>
      <c r="Y18" s="8"/>
      <c r="Z18" s="8"/>
      <c r="AA18" s="8">
        <f>1052932.25+W18</f>
        <v>4911494.08</v>
      </c>
      <c r="AB18" s="8">
        <v>1094164.18</v>
      </c>
      <c r="AC18" s="8">
        <f t="shared" si="7"/>
        <v>3817329.9000000004</v>
      </c>
      <c r="AD18" s="10"/>
      <c r="AE18" s="10"/>
      <c r="AF18" s="8">
        <f>1143531.33+AC18</f>
        <v>4960861.2300000004</v>
      </c>
      <c r="AG18" s="8">
        <v>1104738.74</v>
      </c>
      <c r="AH18" s="8">
        <f t="shared" si="1"/>
        <v>3856122.49</v>
      </c>
      <c r="AI18" s="7">
        <f t="shared" si="14"/>
        <v>2198902.92</v>
      </c>
      <c r="AJ18" s="8" t="e">
        <f>#REF!+AI18</f>
        <v>#REF!</v>
      </c>
      <c r="AK18" s="10"/>
      <c r="AL18" s="8"/>
      <c r="AM18" s="8">
        <f>1119793.16+AH18</f>
        <v>4975915.6500000004</v>
      </c>
      <c r="AN18" s="8">
        <v>1136037.77</v>
      </c>
      <c r="AO18" s="8">
        <f t="shared" si="15"/>
        <v>3839877.8800000004</v>
      </c>
      <c r="AP18" s="10"/>
      <c r="AQ18" s="10"/>
      <c r="AR18" s="8">
        <f>1238483.99+AO18</f>
        <v>5078361.87</v>
      </c>
      <c r="AS18" s="8">
        <v>1085892.21</v>
      </c>
      <c r="AT18" s="8">
        <f t="shared" si="8"/>
        <v>3992469.66</v>
      </c>
      <c r="AU18" s="7">
        <f t="shared" si="9"/>
        <v>2221929.98</v>
      </c>
      <c r="AV18" s="10" t="e">
        <f t="shared" si="0"/>
        <v>#REF!</v>
      </c>
      <c r="AW18" s="10"/>
      <c r="AX18" s="10"/>
      <c r="AY18" s="8">
        <f>1076018.97+AT18</f>
        <v>5068488.63</v>
      </c>
      <c r="AZ18" s="8"/>
      <c r="BA18" s="8">
        <f t="shared" si="10"/>
        <v>5068488.63</v>
      </c>
      <c r="BB18" s="10"/>
      <c r="BC18" s="10"/>
      <c r="BD18" s="8">
        <v>1128722.78</v>
      </c>
      <c r="BE18" s="8"/>
      <c r="BF18" s="8">
        <f t="shared" si="11"/>
        <v>1128722.78</v>
      </c>
      <c r="BG18" s="7">
        <f>BA18+BF18</f>
        <v>6197211.4100000001</v>
      </c>
      <c r="BH18" s="10"/>
      <c r="BI18" s="10"/>
      <c r="BJ18" s="10"/>
      <c r="BK18" s="8">
        <v>1156115.42</v>
      </c>
      <c r="BL18" s="8"/>
      <c r="BM18" s="10"/>
      <c r="BN18" s="10"/>
      <c r="BO18" s="10"/>
      <c r="BP18" s="8">
        <v>796070.68</v>
      </c>
      <c r="BQ18" s="8"/>
      <c r="BR18" s="10"/>
      <c r="BS18" s="9">
        <f t="shared" si="12"/>
        <v>16644205</v>
      </c>
      <c r="BT18" s="9">
        <f>F18+K18+Q18+V18+AB18+AG18+AN18+AS18+AZ18+BE18+BL18+BQ18</f>
        <v>8494807.4899999984</v>
      </c>
      <c r="BU18" s="11">
        <f>BS18-BT18</f>
        <v>8149397.5100000016</v>
      </c>
      <c r="IL18" s="3"/>
      <c r="IM18" s="3"/>
      <c r="IN18" s="3"/>
      <c r="IO18" s="3"/>
      <c r="IP18" s="3"/>
      <c r="IQ18" s="3"/>
      <c r="IR18" s="3"/>
      <c r="IS18" s="3"/>
    </row>
    <row r="19" spans="1:253" s="2" customFormat="1" ht="12.75" customHeight="1" x14ac:dyDescent="0.2">
      <c r="A19" s="5" t="s">
        <v>49</v>
      </c>
      <c r="B19" s="5">
        <v>16221391.59</v>
      </c>
      <c r="C19" s="6"/>
      <c r="D19" s="7"/>
      <c r="E19" s="6">
        <f>3168264.91+9959524.63</f>
        <v>13127789.540000001</v>
      </c>
      <c r="F19" s="6">
        <v>2187334.71</v>
      </c>
      <c r="G19" s="6">
        <f t="shared" si="2"/>
        <v>10940454.830000002</v>
      </c>
      <c r="H19" s="6"/>
      <c r="I19" s="6"/>
      <c r="J19" s="6">
        <f>1477768.77+G19+28100</f>
        <v>12446323.600000001</v>
      </c>
      <c r="K19" s="6">
        <v>2023544</v>
      </c>
      <c r="L19" s="6">
        <f>J19-K19</f>
        <v>10422779.600000001</v>
      </c>
      <c r="M19" s="7">
        <f t="shared" si="4"/>
        <v>4210878.71</v>
      </c>
      <c r="N19" s="6"/>
      <c r="O19" s="13"/>
      <c r="P19" s="6">
        <f>1431667.57+L19+83776</f>
        <v>11938223.170000002</v>
      </c>
      <c r="Q19" s="6">
        <v>2145512.52</v>
      </c>
      <c r="R19" s="6">
        <f t="shared" si="5"/>
        <v>9792710.6500000022</v>
      </c>
      <c r="S19" s="6"/>
      <c r="T19" s="12"/>
      <c r="U19" s="6">
        <f>1249777.11+R19</f>
        <v>11042487.760000002</v>
      </c>
      <c r="V19" s="6">
        <v>2149675.1</v>
      </c>
      <c r="W19" s="6">
        <f t="shared" si="13"/>
        <v>8892812.660000002</v>
      </c>
      <c r="X19" s="9">
        <f t="shared" si="6"/>
        <v>4295187.62</v>
      </c>
      <c r="Y19" s="8"/>
      <c r="Z19" s="8"/>
      <c r="AA19" s="8">
        <f>1074959.18+W19-1174997.16</f>
        <v>8792774.6800000016</v>
      </c>
      <c r="AB19" s="8">
        <v>2747861.98</v>
      </c>
      <c r="AC19" s="8">
        <f t="shared" si="7"/>
        <v>6044912.7000000011</v>
      </c>
      <c r="AD19" s="8"/>
      <c r="AE19" s="10"/>
      <c r="AF19" s="8">
        <f>1167453.55+AC19+2616900</f>
        <v>9829266.25</v>
      </c>
      <c r="AG19" s="8">
        <v>1982615.16</v>
      </c>
      <c r="AH19" s="8">
        <f t="shared" si="1"/>
        <v>7846651.0899999999</v>
      </c>
      <c r="AI19" s="7">
        <f t="shared" si="14"/>
        <v>4730477.1399999997</v>
      </c>
      <c r="AJ19" s="8" t="e">
        <f>#REF!+AI19</f>
        <v>#REF!</v>
      </c>
      <c r="AK19" s="8"/>
      <c r="AL19" s="8"/>
      <c r="AM19" s="8">
        <f>1143218.79+AH19+2403000</f>
        <v>11392869.879999999</v>
      </c>
      <c r="AN19" s="8">
        <v>2041925.18</v>
      </c>
      <c r="AO19" s="8">
        <f t="shared" si="15"/>
        <v>9350944.6999999993</v>
      </c>
      <c r="AP19" s="8"/>
      <c r="AQ19" s="8"/>
      <c r="AR19" s="8">
        <f>1264392.58+AO19+1015200</f>
        <v>11630537.279999999</v>
      </c>
      <c r="AS19" s="8">
        <v>2157729.2799999998</v>
      </c>
      <c r="AT19" s="8">
        <f t="shared" si="8"/>
        <v>9472808</v>
      </c>
      <c r="AU19" s="7">
        <f t="shared" si="9"/>
        <v>4199654.46</v>
      </c>
      <c r="AV19" s="10" t="e">
        <f t="shared" si="0"/>
        <v>#REF!</v>
      </c>
      <c r="AW19" s="8"/>
      <c r="AX19" s="8"/>
      <c r="AY19" s="8">
        <f>1098528.86+AT19</f>
        <v>10571336.859999999</v>
      </c>
      <c r="AZ19" s="8"/>
      <c r="BA19" s="8">
        <f t="shared" si="10"/>
        <v>10571336.859999999</v>
      </c>
      <c r="BB19" s="8"/>
      <c r="BC19" s="8"/>
      <c r="BD19" s="8">
        <v>1152335.22</v>
      </c>
      <c r="BE19" s="8"/>
      <c r="BF19" s="8">
        <f t="shared" si="11"/>
        <v>1152335.22</v>
      </c>
      <c r="BG19" s="7">
        <f t="shared" si="16"/>
        <v>11723672.08</v>
      </c>
      <c r="BH19" s="10"/>
      <c r="BI19" s="8"/>
      <c r="BJ19" s="8"/>
      <c r="BK19" s="8">
        <v>1180300.8899999999</v>
      </c>
      <c r="BL19" s="8"/>
      <c r="BM19" s="8"/>
      <c r="BN19" s="8"/>
      <c r="BO19" s="8"/>
      <c r="BP19" s="8">
        <v>812724.16</v>
      </c>
      <c r="BQ19" s="8"/>
      <c r="BR19" s="10"/>
      <c r="BS19" s="9">
        <f t="shared" si="12"/>
        <v>31152895.059999999</v>
      </c>
      <c r="BT19" s="9">
        <f>F19+K19+Q19+V19+AB19+AG19+AN19+AS19+AZ19+BE19+BL19+BQ19</f>
        <v>17436197.93</v>
      </c>
      <c r="BU19" s="11">
        <f>BS19-BT19</f>
        <v>13716697.129999999</v>
      </c>
      <c r="IL19" s="3"/>
      <c r="IM19" s="3"/>
      <c r="IN19" s="3"/>
      <c r="IO19" s="3"/>
      <c r="IP19" s="3"/>
      <c r="IQ19" s="3"/>
      <c r="IR19" s="3"/>
      <c r="IS19" s="3"/>
    </row>
    <row r="20" spans="1:253" s="2" customFormat="1" ht="12.75" customHeight="1" x14ac:dyDescent="0.2">
      <c r="A20" s="5" t="s">
        <v>50</v>
      </c>
      <c r="B20" s="5">
        <v>8060000</v>
      </c>
      <c r="C20" s="6">
        <f>620000+300000</f>
        <v>920000</v>
      </c>
      <c r="D20" s="7">
        <v>678784.18</v>
      </c>
      <c r="E20" s="6"/>
      <c r="F20" s="6"/>
      <c r="G20" s="6">
        <f>C20-D20</f>
        <v>241215.81999999995</v>
      </c>
      <c r="H20" s="6">
        <f>620000+G20</f>
        <v>861215.82</v>
      </c>
      <c r="I20" s="6">
        <v>675457.58</v>
      </c>
      <c r="J20" s="6"/>
      <c r="K20" s="6"/>
      <c r="L20" s="6">
        <f>H20-I20</f>
        <v>185758.24</v>
      </c>
      <c r="M20" s="7">
        <f>SUM(D20+I20)</f>
        <v>1354241.76</v>
      </c>
      <c r="N20" s="6">
        <f>622000+L20</f>
        <v>807758.24</v>
      </c>
      <c r="O20" s="6">
        <v>672308.89</v>
      </c>
      <c r="P20" s="6"/>
      <c r="Q20" s="6"/>
      <c r="R20" s="6">
        <f>N20-O20</f>
        <v>135449.34999999998</v>
      </c>
      <c r="S20" s="6">
        <f>622000+R20</f>
        <v>757449.35</v>
      </c>
      <c r="T20" s="6">
        <v>665708.41</v>
      </c>
      <c r="U20" s="6"/>
      <c r="V20" s="6"/>
      <c r="W20" s="6">
        <f t="shared" ref="W20:W21" si="17">S20-T20</f>
        <v>91740.939999999944</v>
      </c>
      <c r="X20" s="9">
        <f>O20+T20</f>
        <v>1338017.3</v>
      </c>
      <c r="Y20" s="8">
        <f>622000+W20</f>
        <v>713740.94</v>
      </c>
      <c r="Z20" s="8">
        <v>666365.89</v>
      </c>
      <c r="AA20" s="8"/>
      <c r="AB20" s="8"/>
      <c r="AC20" s="8">
        <f>Y20-Z20</f>
        <v>47375.04999999993</v>
      </c>
      <c r="AD20" s="8">
        <f>622000+AC20</f>
        <v>669375.04999999993</v>
      </c>
      <c r="AE20" s="8">
        <v>660679.39</v>
      </c>
      <c r="AF20" s="8"/>
      <c r="AG20" s="8"/>
      <c r="AH20" s="8">
        <f>AD20-AE20</f>
        <v>8695.6599999999162</v>
      </c>
      <c r="AI20" s="7">
        <f>Z20+AE20</f>
        <v>1327045.28</v>
      </c>
      <c r="AJ20" s="8" t="e">
        <f>#REF!+AI20</f>
        <v>#REF!</v>
      </c>
      <c r="AK20" s="8">
        <f>622000+AH20+20000</f>
        <v>650695.65999999992</v>
      </c>
      <c r="AL20" s="8">
        <v>649472.09</v>
      </c>
      <c r="AM20" s="8"/>
      <c r="AN20" s="8"/>
      <c r="AO20" s="8">
        <f>AK20-AL20</f>
        <v>1223.5699999999488</v>
      </c>
      <c r="AP20" s="8">
        <f>622000+AO20+40000</f>
        <v>663223.56999999995</v>
      </c>
      <c r="AQ20" s="8">
        <v>653503.96</v>
      </c>
      <c r="AR20" s="8"/>
      <c r="AS20" s="8"/>
      <c r="AT20" s="8">
        <f>AP20-AQ20</f>
        <v>9719.609999999986</v>
      </c>
      <c r="AU20" s="7">
        <f>AL20+AQ20</f>
        <v>1302976.0499999998</v>
      </c>
      <c r="AV20" s="8" t="e">
        <f t="shared" si="0"/>
        <v>#REF!</v>
      </c>
      <c r="AW20" s="8">
        <f>622000+AT20</f>
        <v>631719.61</v>
      </c>
      <c r="AX20" s="8"/>
      <c r="AY20" s="8"/>
      <c r="AZ20" s="8"/>
      <c r="BA20" s="8">
        <f>AW20-AX20</f>
        <v>631719.61</v>
      </c>
      <c r="BB20" s="8">
        <v>622000</v>
      </c>
      <c r="BC20" s="8"/>
      <c r="BD20" s="8"/>
      <c r="BE20" s="8"/>
      <c r="BF20" s="8">
        <f>BB20-BC20</f>
        <v>622000</v>
      </c>
      <c r="BG20" s="7">
        <f>AW20+BB20</f>
        <v>1253719.6099999999</v>
      </c>
      <c r="BH20" s="8"/>
      <c r="BI20" s="8">
        <v>622000</v>
      </c>
      <c r="BJ20" s="8"/>
      <c r="BK20" s="8"/>
      <c r="BL20" s="8"/>
      <c r="BM20" s="8"/>
      <c r="BN20" s="8">
        <f>1222000-300000-20000-40000</f>
        <v>862000</v>
      </c>
      <c r="BO20" s="8"/>
      <c r="BP20" s="8"/>
      <c r="BQ20" s="8"/>
      <c r="BR20" s="8"/>
      <c r="BS20" s="9">
        <f>M20+X20+AI20+AU20+BG20+BI20+BN20</f>
        <v>8060000</v>
      </c>
      <c r="BT20" s="9">
        <f>F20+K20+Q20+V20+AB20+AG20+AN20+AS20+AZ20+BE20+BL20+BQ20</f>
        <v>0</v>
      </c>
      <c r="BU20" s="9">
        <f>BS20-BT20</f>
        <v>8060000</v>
      </c>
      <c r="IL20" s="3"/>
      <c r="IM20" s="3"/>
      <c r="IN20" s="3"/>
      <c r="IO20" s="3"/>
      <c r="IP20" s="3"/>
      <c r="IQ20" s="3"/>
      <c r="IR20" s="3"/>
      <c r="IS20" s="3"/>
    </row>
    <row r="21" spans="1:253" s="2" customFormat="1" ht="12.75" customHeight="1" x14ac:dyDescent="0.2">
      <c r="A21" s="5" t="s">
        <v>51</v>
      </c>
      <c r="B21" s="5">
        <v>2376000</v>
      </c>
      <c r="C21" s="6">
        <f>200000+20000</f>
        <v>220000</v>
      </c>
      <c r="D21" s="7">
        <v>210057.88</v>
      </c>
      <c r="E21" s="6"/>
      <c r="F21" s="6"/>
      <c r="G21" s="6">
        <f>C21-D21</f>
        <v>9942.1199999999953</v>
      </c>
      <c r="H21" s="6">
        <f>200000+G21</f>
        <v>209942.12</v>
      </c>
      <c r="I21" s="6">
        <v>199496.64</v>
      </c>
      <c r="J21" s="6"/>
      <c r="K21" s="6"/>
      <c r="L21" s="6">
        <f>H21-I21</f>
        <v>10445.479999999981</v>
      </c>
      <c r="M21" s="7">
        <f>SUM(D21+I21)</f>
        <v>409554.52</v>
      </c>
      <c r="N21" s="6">
        <f>200000+L21</f>
        <v>210445.47999999998</v>
      </c>
      <c r="O21" s="6">
        <v>199504.68</v>
      </c>
      <c r="P21" s="6"/>
      <c r="Q21" s="6"/>
      <c r="R21" s="6">
        <f>N21-O21</f>
        <v>10940.799999999988</v>
      </c>
      <c r="S21" s="6">
        <f>200000+R21</f>
        <v>210940.79999999999</v>
      </c>
      <c r="T21" s="6">
        <v>199191.64</v>
      </c>
      <c r="U21" s="6"/>
      <c r="V21" s="6"/>
      <c r="W21" s="6">
        <f t="shared" si="17"/>
        <v>11749.159999999974</v>
      </c>
      <c r="X21" s="9">
        <f>O21+T21</f>
        <v>398696.32</v>
      </c>
      <c r="Y21" s="8">
        <f>200000+W21</f>
        <v>211749.15999999997</v>
      </c>
      <c r="Z21" s="8">
        <v>199018.37</v>
      </c>
      <c r="AA21" s="8"/>
      <c r="AB21" s="8"/>
      <c r="AC21" s="8">
        <f>Y21-Z21</f>
        <v>12730.789999999979</v>
      </c>
      <c r="AD21" s="8">
        <f>200000+AC21</f>
        <v>212730.78999999998</v>
      </c>
      <c r="AE21" s="8">
        <v>199262.57</v>
      </c>
      <c r="AF21" s="8"/>
      <c r="AG21" s="8"/>
      <c r="AH21" s="8">
        <f>AD21-AE21</f>
        <v>13468.219999999972</v>
      </c>
      <c r="AI21" s="7">
        <f>Z21+AE21</f>
        <v>398280.94</v>
      </c>
      <c r="AJ21" s="8" t="e">
        <f>#REF!+AI21</f>
        <v>#REF!</v>
      </c>
      <c r="AK21" s="8">
        <f>200000+AH21</f>
        <v>213468.21999999997</v>
      </c>
      <c r="AL21" s="8">
        <v>199250.1</v>
      </c>
      <c r="AM21" s="8"/>
      <c r="AN21" s="8"/>
      <c r="AO21" s="8">
        <f>AK21-AL21</f>
        <v>14218.119999999966</v>
      </c>
      <c r="AP21" s="8">
        <f>200000+AO21</f>
        <v>214218.11999999997</v>
      </c>
      <c r="AQ21" s="8">
        <v>199044.08</v>
      </c>
      <c r="AR21" s="8"/>
      <c r="AS21" s="8"/>
      <c r="AT21" s="8">
        <f>AP21-AQ21</f>
        <v>15174.039999999979</v>
      </c>
      <c r="AU21" s="7">
        <f>AL21+AQ21</f>
        <v>398294.18</v>
      </c>
      <c r="AV21" s="10" t="e">
        <f t="shared" si="0"/>
        <v>#REF!</v>
      </c>
      <c r="AW21" s="8">
        <f>200000+AT21</f>
        <v>215174.03999999998</v>
      </c>
      <c r="AX21" s="8"/>
      <c r="AY21" s="8"/>
      <c r="AZ21" s="8"/>
      <c r="BA21" s="8">
        <f>AW21-AX21</f>
        <v>215174.03999999998</v>
      </c>
      <c r="BB21" s="8">
        <v>200000</v>
      </c>
      <c r="BC21" s="8"/>
      <c r="BD21" s="8"/>
      <c r="BE21" s="8"/>
      <c r="BF21" s="8">
        <f>BB21-BC21</f>
        <v>200000</v>
      </c>
      <c r="BG21" s="7">
        <f>AW21+BB21</f>
        <v>415174.04</v>
      </c>
      <c r="BH21" s="10"/>
      <c r="BI21" s="8">
        <v>200000</v>
      </c>
      <c r="BJ21" s="8"/>
      <c r="BK21" s="8"/>
      <c r="BL21" s="8"/>
      <c r="BM21" s="8"/>
      <c r="BN21" s="8">
        <f>176000-20000</f>
        <v>156000</v>
      </c>
      <c r="BO21" s="8"/>
      <c r="BP21" s="8"/>
      <c r="BQ21" s="8"/>
      <c r="BR21" s="8"/>
      <c r="BS21" s="9">
        <f>M21+X21+AI21+AU21+BG21+BI21+BN21</f>
        <v>2376000</v>
      </c>
      <c r="BT21" s="9"/>
      <c r="BU21" s="9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2.75" customHeight="1" x14ac:dyDescent="0.2">
      <c r="A22" s="5" t="s">
        <v>52</v>
      </c>
      <c r="B22" s="5">
        <v>118790530.78</v>
      </c>
      <c r="C22" s="6"/>
      <c r="D22" s="7"/>
      <c r="E22" s="6">
        <f>23201453.71+776222.91</f>
        <v>23977676.620000001</v>
      </c>
      <c r="F22" s="6">
        <v>8315556.9900000002</v>
      </c>
      <c r="G22" s="6">
        <f t="shared" si="2"/>
        <v>15662119.630000001</v>
      </c>
      <c r="H22" s="6"/>
      <c r="I22" s="6"/>
      <c r="J22" s="6">
        <f>10821817.35+G22</f>
        <v>26483936.98</v>
      </c>
      <c r="K22" s="6">
        <v>8574562.9499999993</v>
      </c>
      <c r="L22" s="6">
        <f t="shared" si="3"/>
        <v>17909374.030000001</v>
      </c>
      <c r="M22" s="7">
        <f t="shared" ref="M22:M23" si="18">F22+K22</f>
        <v>16890119.939999998</v>
      </c>
      <c r="N22" s="6"/>
      <c r="O22" s="13"/>
      <c r="P22" s="6">
        <f>10484214.67+L22+30000</f>
        <v>28423588.700000003</v>
      </c>
      <c r="Q22" s="6">
        <v>11131101.66</v>
      </c>
      <c r="R22" s="6">
        <f t="shared" si="5"/>
        <v>17292487.040000003</v>
      </c>
      <c r="S22" s="12"/>
      <c r="T22" s="12"/>
      <c r="U22" s="6">
        <f>9152216.45+R22+717623.3</f>
        <v>27162326.790000003</v>
      </c>
      <c r="V22" s="6">
        <v>8293656.4500000002</v>
      </c>
      <c r="W22" s="6">
        <f t="shared" si="13"/>
        <v>18868670.340000004</v>
      </c>
      <c r="X22" s="9">
        <f t="shared" ref="X22:X23" si="19">Q22+V22</f>
        <v>19424758.109999999</v>
      </c>
      <c r="Y22" s="8"/>
      <c r="Z22" s="8"/>
      <c r="AA22" s="8">
        <f>7872010.89+W22+1108200</f>
        <v>27848881.230000004</v>
      </c>
      <c r="AB22" s="8">
        <v>9967285.7300000004</v>
      </c>
      <c r="AC22" s="8">
        <f t="shared" si="7"/>
        <v>17881595.500000004</v>
      </c>
      <c r="AD22" s="10"/>
      <c r="AE22" s="10"/>
      <c r="AF22" s="8">
        <f>8549354.5+AC22+1000000</f>
        <v>27430950.000000004</v>
      </c>
      <c r="AG22" s="8">
        <v>8583931.0899999999</v>
      </c>
      <c r="AH22" s="8">
        <f t="shared" si="1"/>
        <v>18847018.910000004</v>
      </c>
      <c r="AI22" s="7">
        <f t="shared" ref="AI22:AI23" si="20">AB22+AG22</f>
        <v>18551216.82</v>
      </c>
      <c r="AJ22" s="8" t="e">
        <f>#REF!+AI22</f>
        <v>#REF!</v>
      </c>
      <c r="AK22" s="10"/>
      <c r="AL22" s="8"/>
      <c r="AM22" s="8">
        <f>8371881.45+AH22-659061.52</f>
        <v>26559838.840000004</v>
      </c>
      <c r="AN22" s="8">
        <v>7912904.5599999996</v>
      </c>
      <c r="AO22" s="8">
        <f>AM22-AN22</f>
        <v>18646934.280000005</v>
      </c>
      <c r="AP22" s="10"/>
      <c r="AQ22" s="10"/>
      <c r="AR22" s="8">
        <f>9259246.71+AO22-949195.84</f>
        <v>26956985.150000006</v>
      </c>
      <c r="AS22" s="8">
        <v>9014967.4399999995</v>
      </c>
      <c r="AT22" s="8">
        <f>AR22-AS22</f>
        <v>17942017.710000008</v>
      </c>
      <c r="AU22" s="7">
        <f t="shared" ref="AU22" si="21">AN22+AS22</f>
        <v>16927872</v>
      </c>
      <c r="AV22" s="10" t="e">
        <f t="shared" si="0"/>
        <v>#REF!</v>
      </c>
      <c r="AW22" s="10"/>
      <c r="AX22" s="10"/>
      <c r="AY22" s="8">
        <f>8044613.55+AT22</f>
        <v>25986631.260000009</v>
      </c>
      <c r="AZ22" s="8"/>
      <c r="BA22" s="8">
        <f t="shared" si="10"/>
        <v>25986631.260000009</v>
      </c>
      <c r="BB22" s="10"/>
      <c r="BC22" s="10"/>
      <c r="BD22" s="8">
        <v>8438641.7300000004</v>
      </c>
      <c r="BE22" s="8"/>
      <c r="BF22" s="8">
        <f t="shared" si="11"/>
        <v>8438641.7300000004</v>
      </c>
      <c r="BG22" s="7">
        <f t="shared" ref="BG22:BG26" si="22">BA22+BF22</f>
        <v>34425272.99000001</v>
      </c>
      <c r="BH22" s="10"/>
      <c r="BI22" s="10"/>
      <c r="BJ22" s="10"/>
      <c r="BK22" s="8">
        <v>8643436.5999999996</v>
      </c>
      <c r="BL22" s="8"/>
      <c r="BM22" s="10"/>
      <c r="BN22" s="10"/>
      <c r="BO22" s="10"/>
      <c r="BP22" s="8">
        <v>5951643.1699999999</v>
      </c>
      <c r="BQ22" s="8"/>
      <c r="BR22" s="10"/>
      <c r="BS22" s="9">
        <f>M22+X22+AI22+AU22+BG22+BK22+BP22</f>
        <v>120814319.63000001</v>
      </c>
      <c r="BT22" s="9">
        <f>F22+K22+Q22+V22+AB22+AG22+AN22+AS22+AZ22+BE22+BL22+BQ22</f>
        <v>71793966.870000005</v>
      </c>
      <c r="BU22" s="11">
        <f>BS22-BT22</f>
        <v>49020352.760000005</v>
      </c>
      <c r="IL22" s="3"/>
      <c r="IM22" s="3"/>
      <c r="IN22" s="3"/>
      <c r="IO22" s="3"/>
      <c r="IP22" s="3"/>
      <c r="IQ22" s="3"/>
      <c r="IR22" s="3"/>
      <c r="IS22" s="3"/>
    </row>
    <row r="23" spans="1:253" s="2" customFormat="1" ht="12.75" customHeight="1" x14ac:dyDescent="0.2">
      <c r="A23" s="5" t="s">
        <v>55</v>
      </c>
      <c r="B23" s="5">
        <v>1953000</v>
      </c>
      <c r="C23" s="6"/>
      <c r="D23" s="7"/>
      <c r="E23" s="6">
        <f>381448.22+17500</f>
        <v>398948.22</v>
      </c>
      <c r="F23" s="6">
        <v>148889.09</v>
      </c>
      <c r="G23" s="6">
        <f t="shared" si="2"/>
        <v>250059.12999999998</v>
      </c>
      <c r="H23" s="6"/>
      <c r="I23" s="6"/>
      <c r="J23" s="6">
        <f>177918.3+G23+3500</f>
        <v>431477.42999999993</v>
      </c>
      <c r="K23" s="6">
        <v>150198.57</v>
      </c>
      <c r="L23" s="6">
        <f t="shared" si="3"/>
        <v>281278.85999999993</v>
      </c>
      <c r="M23" s="7">
        <f t="shared" si="18"/>
        <v>299087.66000000003</v>
      </c>
      <c r="N23" s="6"/>
      <c r="O23" s="13"/>
      <c r="P23" s="6">
        <f>172367.88+L23+3300</f>
        <v>456946.73999999993</v>
      </c>
      <c r="Q23" s="6">
        <v>141051.06</v>
      </c>
      <c r="R23" s="6">
        <f t="shared" si="5"/>
        <v>315895.67999999993</v>
      </c>
      <c r="S23" s="12"/>
      <c r="T23" s="12"/>
      <c r="U23" s="6">
        <f>150468.89+R23</f>
        <v>466364.56999999995</v>
      </c>
      <c r="V23" s="6">
        <v>152138.39000000001</v>
      </c>
      <c r="W23" s="6">
        <f t="shared" si="13"/>
        <v>314226.17999999993</v>
      </c>
      <c r="X23" s="9">
        <f t="shared" si="19"/>
        <v>293189.45</v>
      </c>
      <c r="Y23" s="8"/>
      <c r="Z23" s="8"/>
      <c r="AA23" s="8">
        <f>129421.41+W23</f>
        <v>443647.58999999997</v>
      </c>
      <c r="AB23" s="8">
        <v>161698.01</v>
      </c>
      <c r="AC23" s="8">
        <f t="shared" si="7"/>
        <v>281949.57999999996</v>
      </c>
      <c r="AD23" s="10"/>
      <c r="AE23" s="10"/>
      <c r="AF23" s="8">
        <f>140557.41+AC23</f>
        <v>422506.99</v>
      </c>
      <c r="AG23" s="8">
        <v>152260.17000000001</v>
      </c>
      <c r="AH23" s="8">
        <f t="shared" si="1"/>
        <v>270246.81999999995</v>
      </c>
      <c r="AI23" s="7">
        <f t="shared" si="20"/>
        <v>313958.18000000005</v>
      </c>
      <c r="AJ23" s="8"/>
      <c r="AK23" s="10"/>
      <c r="AL23" s="8"/>
      <c r="AM23" s="8">
        <f>137639.63+AH23+11000</f>
        <v>418886.44999999995</v>
      </c>
      <c r="AN23" s="8">
        <v>160651.41</v>
      </c>
      <c r="AO23" s="8">
        <f t="shared" si="15"/>
        <v>258235.03999999995</v>
      </c>
      <c r="AP23" s="10"/>
      <c r="AQ23" s="10"/>
      <c r="AR23" s="8">
        <f>152228.54+AO23</f>
        <v>410463.57999999996</v>
      </c>
      <c r="AS23" s="8">
        <v>152280.34</v>
      </c>
      <c r="AT23" s="8">
        <f>AR23-AS23</f>
        <v>258183.23999999996</v>
      </c>
      <c r="AU23" s="7">
        <f>AN23+AS23</f>
        <v>312931.75</v>
      </c>
      <c r="AV23" s="10"/>
      <c r="AW23" s="10"/>
      <c r="AX23" s="10"/>
      <c r="AY23" s="8">
        <f>132259.12+AT23</f>
        <v>390442.36</v>
      </c>
      <c r="AZ23" s="8"/>
      <c r="BA23" s="8">
        <f t="shared" si="10"/>
        <v>390442.36</v>
      </c>
      <c r="BB23" s="10"/>
      <c r="BC23" s="10"/>
      <c r="BD23" s="8">
        <v>138737.22</v>
      </c>
      <c r="BE23" s="8"/>
      <c r="BF23" s="8">
        <f t="shared" si="11"/>
        <v>138737.22</v>
      </c>
      <c r="BG23" s="7">
        <f>BA23+BF23</f>
        <v>529179.57999999996</v>
      </c>
      <c r="BH23" s="10"/>
      <c r="BI23" s="10"/>
      <c r="BJ23" s="10"/>
      <c r="BK23" s="8">
        <v>142104.18</v>
      </c>
      <c r="BL23" s="8"/>
      <c r="BM23" s="10"/>
      <c r="BN23" s="10"/>
      <c r="BO23" s="10"/>
      <c r="BP23" s="8">
        <v>97849.2</v>
      </c>
      <c r="BQ23" s="8"/>
      <c r="BR23" s="10"/>
      <c r="BS23" s="9">
        <f>M23+X23+AI23+AU23+BG23+BK23+BP23</f>
        <v>1988300</v>
      </c>
      <c r="BT23" s="9">
        <f>F23+K23+Q23+V23+AB23+AG23+AN23+AS23+AZ23+BE23+BL23+BQ23</f>
        <v>1219167.0400000003</v>
      </c>
      <c r="BU23" s="11">
        <f>BS23-BT23</f>
        <v>769132.95999999973</v>
      </c>
      <c r="IL23" s="3"/>
      <c r="IM23" s="3"/>
      <c r="IN23" s="3"/>
      <c r="IO23" s="3"/>
      <c r="IP23" s="3"/>
      <c r="IQ23" s="3"/>
      <c r="IR23" s="3"/>
      <c r="IS23" s="3"/>
    </row>
    <row r="24" spans="1:253" s="2" customFormat="1" ht="12.75" customHeight="1" x14ac:dyDescent="0.2">
      <c r="A24" s="5" t="s">
        <v>59</v>
      </c>
      <c r="B24" s="5">
        <v>0</v>
      </c>
      <c r="C24" s="6"/>
      <c r="D24" s="7"/>
      <c r="E24" s="6"/>
      <c r="F24" s="6"/>
      <c r="G24" s="6"/>
      <c r="H24" s="6"/>
      <c r="I24" s="6"/>
      <c r="J24" s="6"/>
      <c r="K24" s="6"/>
      <c r="L24" s="6"/>
      <c r="M24" s="7"/>
      <c r="N24" s="6"/>
      <c r="O24" s="13"/>
      <c r="P24" s="6"/>
      <c r="Q24" s="6"/>
      <c r="R24" s="6"/>
      <c r="S24" s="12"/>
      <c r="T24" s="12"/>
      <c r="U24" s="6"/>
      <c r="V24" s="6"/>
      <c r="W24" s="6"/>
      <c r="X24" s="9"/>
      <c r="Y24" s="8"/>
      <c r="Z24" s="8"/>
      <c r="AA24" s="8"/>
      <c r="AB24" s="8"/>
      <c r="AC24" s="8"/>
      <c r="AD24" s="10"/>
      <c r="AE24" s="10"/>
      <c r="AF24" s="8"/>
      <c r="AG24" s="8"/>
      <c r="AH24" s="8"/>
      <c r="AI24" s="7"/>
      <c r="AJ24" s="8"/>
      <c r="AK24" s="10"/>
      <c r="AL24" s="8"/>
      <c r="AM24" s="8">
        <v>625800</v>
      </c>
      <c r="AN24" s="8"/>
      <c r="AO24" s="8">
        <f>AM24-AN24</f>
        <v>625800</v>
      </c>
      <c r="AP24" s="10"/>
      <c r="AQ24" s="10"/>
      <c r="AR24" s="8">
        <f>AO24+571910.34</f>
        <v>1197710.3399999999</v>
      </c>
      <c r="AS24" s="8">
        <v>245735.52</v>
      </c>
      <c r="AT24" s="8">
        <f t="shared" ref="AT24:AT26" si="23">AR24-AS24</f>
        <v>951974.81999999983</v>
      </c>
      <c r="AU24" s="7">
        <f t="shared" ref="AU24:AU26" si="24">AN24+AS24</f>
        <v>245735.52</v>
      </c>
      <c r="AV24" s="10"/>
      <c r="AW24" s="10"/>
      <c r="AX24" s="10"/>
      <c r="AY24" s="8">
        <f>AT24</f>
        <v>951974.81999999983</v>
      </c>
      <c r="AZ24" s="8"/>
      <c r="BA24" s="8">
        <f t="shared" si="10"/>
        <v>951974.81999999983</v>
      </c>
      <c r="BB24" s="10"/>
      <c r="BC24" s="10"/>
      <c r="BD24" s="8"/>
      <c r="BE24" s="8"/>
      <c r="BF24" s="8"/>
      <c r="BG24" s="7">
        <f t="shared" si="22"/>
        <v>951974.81999999983</v>
      </c>
      <c r="BH24" s="10"/>
      <c r="BI24" s="10"/>
      <c r="BJ24" s="10"/>
      <c r="BK24" s="8"/>
      <c r="BL24" s="8"/>
      <c r="BM24" s="10"/>
      <c r="BN24" s="10"/>
      <c r="BO24" s="10"/>
      <c r="BP24" s="8"/>
      <c r="BQ24" s="8"/>
      <c r="BR24" s="10"/>
      <c r="BS24" s="9">
        <f t="shared" ref="BS24:BS26" si="25">M24+X24+AI24+AU24+BG24+BK24+BP24</f>
        <v>1197710.3399999999</v>
      </c>
      <c r="BT24" s="9"/>
      <c r="BU24" s="11"/>
      <c r="IL24" s="3"/>
      <c r="IM24" s="3"/>
      <c r="IN24" s="3"/>
      <c r="IO24" s="3"/>
      <c r="IP24" s="3"/>
      <c r="IQ24" s="3"/>
      <c r="IR24" s="3"/>
      <c r="IS24" s="3"/>
    </row>
    <row r="25" spans="1:253" s="2" customFormat="1" ht="12.75" customHeight="1" x14ac:dyDescent="0.2">
      <c r="A25" s="5" t="s">
        <v>60</v>
      </c>
      <c r="B25" s="5">
        <v>0</v>
      </c>
      <c r="C25" s="6"/>
      <c r="D25" s="7"/>
      <c r="E25" s="6"/>
      <c r="F25" s="6"/>
      <c r="G25" s="6"/>
      <c r="H25" s="6"/>
      <c r="I25" s="6"/>
      <c r="J25" s="6"/>
      <c r="K25" s="6"/>
      <c r="L25" s="6"/>
      <c r="M25" s="7"/>
      <c r="N25" s="6"/>
      <c r="O25" s="13"/>
      <c r="P25" s="6"/>
      <c r="Q25" s="6"/>
      <c r="R25" s="6"/>
      <c r="S25" s="12"/>
      <c r="T25" s="12"/>
      <c r="U25" s="6"/>
      <c r="V25" s="6"/>
      <c r="W25" s="6"/>
      <c r="X25" s="9"/>
      <c r="Y25" s="8"/>
      <c r="Z25" s="8"/>
      <c r="AA25" s="8"/>
      <c r="AB25" s="8"/>
      <c r="AC25" s="8"/>
      <c r="AD25" s="10"/>
      <c r="AE25" s="10"/>
      <c r="AF25" s="8"/>
      <c r="AG25" s="8"/>
      <c r="AH25" s="8"/>
      <c r="AI25" s="7"/>
      <c r="AJ25" s="8"/>
      <c r="AK25" s="10"/>
      <c r="AL25" s="8"/>
      <c r="AM25" s="8">
        <v>508500</v>
      </c>
      <c r="AN25" s="8"/>
      <c r="AO25" s="8">
        <f t="shared" si="15"/>
        <v>508500</v>
      </c>
      <c r="AP25" s="10"/>
      <c r="AQ25" s="10"/>
      <c r="AR25" s="8">
        <f>AO25+184670.22</f>
        <v>693170.22</v>
      </c>
      <c r="AS25" s="8">
        <v>146937.67000000001</v>
      </c>
      <c r="AT25" s="8">
        <f t="shared" si="23"/>
        <v>546232.54999999993</v>
      </c>
      <c r="AU25" s="7">
        <f t="shared" si="24"/>
        <v>146937.67000000001</v>
      </c>
      <c r="AV25" s="10"/>
      <c r="AW25" s="10"/>
      <c r="AX25" s="10"/>
      <c r="AY25" s="8">
        <f t="shared" ref="AY25:AY26" si="26">AT25</f>
        <v>546232.54999999993</v>
      </c>
      <c r="AZ25" s="8"/>
      <c r="BA25" s="8">
        <f t="shared" si="10"/>
        <v>546232.54999999993</v>
      </c>
      <c r="BB25" s="10"/>
      <c r="BC25" s="10"/>
      <c r="BD25" s="8"/>
      <c r="BE25" s="8"/>
      <c r="BF25" s="8"/>
      <c r="BG25" s="7">
        <f t="shared" si="22"/>
        <v>546232.54999999993</v>
      </c>
      <c r="BH25" s="10"/>
      <c r="BI25" s="10"/>
      <c r="BJ25" s="10"/>
      <c r="BK25" s="8"/>
      <c r="BL25" s="8"/>
      <c r="BM25" s="10"/>
      <c r="BN25" s="10"/>
      <c r="BO25" s="10"/>
      <c r="BP25" s="8"/>
      <c r="BQ25" s="8"/>
      <c r="BR25" s="10"/>
      <c r="BS25" s="9">
        <f t="shared" si="25"/>
        <v>693170.22</v>
      </c>
      <c r="BT25" s="9"/>
      <c r="BU25" s="11"/>
      <c r="IL25" s="3"/>
      <c r="IM25" s="3"/>
      <c r="IN25" s="3"/>
      <c r="IO25" s="3"/>
      <c r="IP25" s="3"/>
      <c r="IQ25" s="3"/>
      <c r="IR25" s="3"/>
      <c r="IS25" s="3"/>
    </row>
    <row r="26" spans="1:253" s="2" customFormat="1" ht="12.75" customHeight="1" x14ac:dyDescent="0.2">
      <c r="A26" s="5" t="s">
        <v>61</v>
      </c>
      <c r="B26" s="5">
        <v>0</v>
      </c>
      <c r="C26" s="6"/>
      <c r="D26" s="7"/>
      <c r="E26" s="6"/>
      <c r="F26" s="6"/>
      <c r="G26" s="6"/>
      <c r="H26" s="6"/>
      <c r="I26" s="6"/>
      <c r="J26" s="6"/>
      <c r="K26" s="6"/>
      <c r="L26" s="6"/>
      <c r="M26" s="7"/>
      <c r="N26" s="6"/>
      <c r="O26" s="13"/>
      <c r="P26" s="6"/>
      <c r="Q26" s="6"/>
      <c r="R26" s="6"/>
      <c r="S26" s="12"/>
      <c r="T26" s="12"/>
      <c r="U26" s="6"/>
      <c r="V26" s="6"/>
      <c r="W26" s="6"/>
      <c r="X26" s="9"/>
      <c r="Y26" s="8"/>
      <c r="Z26" s="8"/>
      <c r="AA26" s="8"/>
      <c r="AB26" s="8"/>
      <c r="AC26" s="8"/>
      <c r="AD26" s="10"/>
      <c r="AE26" s="10"/>
      <c r="AF26" s="8"/>
      <c r="AG26" s="8"/>
      <c r="AH26" s="8"/>
      <c r="AI26" s="7"/>
      <c r="AJ26" s="8"/>
      <c r="AK26" s="10"/>
      <c r="AL26" s="8"/>
      <c r="AM26" s="8">
        <v>219000</v>
      </c>
      <c r="AN26" s="8"/>
      <c r="AO26" s="8">
        <f t="shared" si="15"/>
        <v>219000</v>
      </c>
      <c r="AP26" s="10"/>
      <c r="AQ26" s="10"/>
      <c r="AR26" s="8">
        <f>AO26+649000</f>
        <v>868000</v>
      </c>
      <c r="AS26" s="8">
        <v>97377.05</v>
      </c>
      <c r="AT26" s="8">
        <f t="shared" si="23"/>
        <v>770622.95</v>
      </c>
      <c r="AU26" s="7">
        <f t="shared" si="24"/>
        <v>97377.05</v>
      </c>
      <c r="AV26" s="10"/>
      <c r="AW26" s="10"/>
      <c r="AX26" s="10"/>
      <c r="AY26" s="8">
        <f t="shared" si="26"/>
        <v>770622.95</v>
      </c>
      <c r="AZ26" s="8"/>
      <c r="BA26" s="8">
        <f t="shared" si="10"/>
        <v>770622.95</v>
      </c>
      <c r="BB26" s="10"/>
      <c r="BC26" s="10"/>
      <c r="BD26" s="8"/>
      <c r="BE26" s="8"/>
      <c r="BF26" s="8"/>
      <c r="BG26" s="7">
        <f t="shared" si="22"/>
        <v>770622.95</v>
      </c>
      <c r="BH26" s="10"/>
      <c r="BI26" s="10"/>
      <c r="BJ26" s="10"/>
      <c r="BK26" s="8"/>
      <c r="BL26" s="8"/>
      <c r="BM26" s="10"/>
      <c r="BN26" s="10"/>
      <c r="BO26" s="10"/>
      <c r="BP26" s="8"/>
      <c r="BQ26" s="8"/>
      <c r="BR26" s="10"/>
      <c r="BS26" s="9">
        <f t="shared" si="25"/>
        <v>868000</v>
      </c>
      <c r="BT26" s="9"/>
      <c r="BU26" s="11"/>
      <c r="IL26" s="3"/>
      <c r="IM26" s="3"/>
      <c r="IN26" s="3"/>
      <c r="IO26" s="3"/>
      <c r="IP26" s="3"/>
      <c r="IQ26" s="3"/>
      <c r="IR26" s="3"/>
      <c r="IS26" s="3"/>
    </row>
    <row r="27" spans="1:253" s="16" customFormat="1" ht="12.75" customHeight="1" x14ac:dyDescent="0.2">
      <c r="A27" s="14" t="s">
        <v>20</v>
      </c>
      <c r="B27" s="15">
        <f>SUM(B5:B26)</f>
        <v>658786000</v>
      </c>
      <c r="C27" s="9">
        <f>SUM(C5:C23)</f>
        <v>4340000</v>
      </c>
      <c r="D27" s="9">
        <f t="shared" ref="D27:AL27" si="27">SUM(D5:D23)</f>
        <v>3924620.62</v>
      </c>
      <c r="E27" s="9">
        <f t="shared" si="27"/>
        <v>193916197.23999998</v>
      </c>
      <c r="F27" s="9">
        <f t="shared" si="27"/>
        <v>40242356.63000001</v>
      </c>
      <c r="G27" s="9">
        <f>SUM(G5:G23)</f>
        <v>154089219.99000001</v>
      </c>
      <c r="H27" s="9">
        <f t="shared" si="27"/>
        <v>4235379.38</v>
      </c>
      <c r="I27" s="9">
        <f t="shared" si="27"/>
        <v>3951208.91</v>
      </c>
      <c r="J27" s="9">
        <f t="shared" si="27"/>
        <v>215834409.20000002</v>
      </c>
      <c r="K27" s="9">
        <f t="shared" si="27"/>
        <v>40678413.029999994</v>
      </c>
      <c r="L27" s="9">
        <f t="shared" si="27"/>
        <v>175440166.64000002</v>
      </c>
      <c r="M27" s="9">
        <f>SUM(M5:M23)</f>
        <v>88796599.189999983</v>
      </c>
      <c r="N27" s="9">
        <f t="shared" si="27"/>
        <v>3906170.47</v>
      </c>
      <c r="O27" s="9">
        <f t="shared" si="27"/>
        <v>3723273.47</v>
      </c>
      <c r="P27" s="9">
        <f>SUM(P5:P23)</f>
        <v>227136453.47999996</v>
      </c>
      <c r="Q27" s="9">
        <f t="shared" si="27"/>
        <v>48370175.840000004</v>
      </c>
      <c r="R27" s="9">
        <f t="shared" si="27"/>
        <v>178949174.64000002</v>
      </c>
      <c r="S27" s="9">
        <f t="shared" si="27"/>
        <v>3824897</v>
      </c>
      <c r="T27" s="9">
        <f>SUM(T5:T23)</f>
        <v>3717752.24</v>
      </c>
      <c r="U27" s="9">
        <f t="shared" si="27"/>
        <v>236075455.74999997</v>
      </c>
      <c r="V27" s="9">
        <f t="shared" si="27"/>
        <v>45698623.979999997</v>
      </c>
      <c r="W27" s="9">
        <f t="shared" si="27"/>
        <v>190483976.53000003</v>
      </c>
      <c r="X27" s="9">
        <f>SUM(X5:X23)</f>
        <v>101509825.53</v>
      </c>
      <c r="Y27" s="9">
        <f t="shared" si="27"/>
        <v>3829144.7600000002</v>
      </c>
      <c r="Z27" s="9">
        <f t="shared" si="27"/>
        <v>3737968.0500000003</v>
      </c>
      <c r="AA27" s="9">
        <f>SUM(AA5:AA23)</f>
        <v>240874321.83000001</v>
      </c>
      <c r="AB27" s="9">
        <f t="shared" si="27"/>
        <v>53168786.160000004</v>
      </c>
      <c r="AC27" s="9">
        <f t="shared" si="27"/>
        <v>187796712.38</v>
      </c>
      <c r="AD27" s="9">
        <f t="shared" si="27"/>
        <v>3413176.71</v>
      </c>
      <c r="AE27" s="9">
        <f t="shared" si="27"/>
        <v>2476879.0699999998</v>
      </c>
      <c r="AF27" s="9">
        <f t="shared" si="27"/>
        <v>247116392.12</v>
      </c>
      <c r="AG27" s="9">
        <f t="shared" si="27"/>
        <v>47017832.599999994</v>
      </c>
      <c r="AH27" s="9">
        <f t="shared" si="27"/>
        <v>201034857.15999997</v>
      </c>
      <c r="AI27" s="9">
        <f t="shared" si="27"/>
        <v>106401465.88</v>
      </c>
      <c r="AJ27" s="9" t="e">
        <f t="shared" si="27"/>
        <v>#REF!</v>
      </c>
      <c r="AK27" s="9">
        <f t="shared" si="27"/>
        <v>4278297.6399999997</v>
      </c>
      <c r="AL27" s="9">
        <f t="shared" si="27"/>
        <v>2482939.6</v>
      </c>
      <c r="AM27" s="9">
        <f>SUM(AM5:AM26)</f>
        <v>254720050.42999989</v>
      </c>
      <c r="AN27" s="9">
        <f t="shared" ref="AN27:BR27" si="28">SUM(AN5:AN26)</f>
        <v>50353888.090000004</v>
      </c>
      <c r="AO27" s="9">
        <f t="shared" si="28"/>
        <v>206161520.37999994</v>
      </c>
      <c r="AP27" s="9">
        <f t="shared" si="28"/>
        <v>4257358.0399999991</v>
      </c>
      <c r="AQ27" s="9">
        <f t="shared" si="28"/>
        <v>1978290.12</v>
      </c>
      <c r="AR27" s="9">
        <f t="shared" si="28"/>
        <v>261291486.57999998</v>
      </c>
      <c r="AS27" s="9">
        <f t="shared" si="28"/>
        <v>51680418.440000005</v>
      </c>
      <c r="AT27" s="9">
        <f t="shared" si="28"/>
        <v>211890136.05999997</v>
      </c>
      <c r="AU27" s="9">
        <f t="shared" si="28"/>
        <v>106495536.24999999</v>
      </c>
      <c r="AV27" s="9" t="e">
        <f t="shared" si="28"/>
        <v>#REF!</v>
      </c>
      <c r="AW27" s="9">
        <f t="shared" si="28"/>
        <v>4701067.92</v>
      </c>
      <c r="AX27" s="9">
        <f t="shared" si="28"/>
        <v>0</v>
      </c>
      <c r="AY27" s="9">
        <f>SUM(AY5:AY26)</f>
        <v>251665131.93000004</v>
      </c>
      <c r="AZ27" s="9">
        <f t="shared" si="28"/>
        <v>0</v>
      </c>
      <c r="BA27" s="9">
        <f t="shared" si="28"/>
        <v>256366199.85000008</v>
      </c>
      <c r="BB27" s="9">
        <f t="shared" si="28"/>
        <v>2422000</v>
      </c>
      <c r="BC27" s="9">
        <f t="shared" si="28"/>
        <v>0</v>
      </c>
      <c r="BD27" s="9">
        <f t="shared" si="28"/>
        <v>59113887.640000001</v>
      </c>
      <c r="BE27" s="9">
        <f t="shared" si="28"/>
        <v>0</v>
      </c>
      <c r="BF27" s="9">
        <f t="shared" si="28"/>
        <v>61535887.640000001</v>
      </c>
      <c r="BG27" s="9">
        <f t="shared" si="28"/>
        <v>317902087.49000001</v>
      </c>
      <c r="BH27" s="9">
        <f t="shared" si="28"/>
        <v>0</v>
      </c>
      <c r="BI27" s="9">
        <f t="shared" si="28"/>
        <v>2422000</v>
      </c>
      <c r="BJ27" s="9">
        <f t="shared" si="28"/>
        <v>0</v>
      </c>
      <c r="BK27" s="9">
        <f t="shared" si="28"/>
        <v>45184474.369999997</v>
      </c>
      <c r="BL27" s="9">
        <f t="shared" si="28"/>
        <v>0</v>
      </c>
      <c r="BM27" s="9">
        <f t="shared" si="28"/>
        <v>0</v>
      </c>
      <c r="BN27" s="9">
        <f t="shared" si="28"/>
        <v>2258000</v>
      </c>
      <c r="BO27" s="9">
        <f t="shared" si="28"/>
        <v>0</v>
      </c>
      <c r="BP27" s="9">
        <f t="shared" si="28"/>
        <v>31102840.949999999</v>
      </c>
      <c r="BQ27" s="9">
        <f t="shared" si="28"/>
        <v>0</v>
      </c>
      <c r="BR27" s="9">
        <f t="shared" si="28"/>
        <v>0</v>
      </c>
      <c r="BS27" s="9">
        <f>SUM(BS5:BS26)</f>
        <v>802072829.65999997</v>
      </c>
      <c r="BT27" s="9">
        <f t="shared" ref="BT27:BU27" si="29">SUM(BT5:BT23)</f>
        <v>111282928.12</v>
      </c>
      <c r="BU27" s="9">
        <f t="shared" si="29"/>
        <v>116087871.56999999</v>
      </c>
      <c r="BV27" s="2"/>
      <c r="IL27" s="46"/>
      <c r="IM27" s="46"/>
      <c r="IN27" s="46"/>
      <c r="IO27" s="46"/>
      <c r="IP27" s="46"/>
      <c r="IQ27" s="46"/>
      <c r="IR27" s="46"/>
      <c r="IS27" s="46"/>
    </row>
    <row r="28" spans="1:253" s="17" customFormat="1" ht="12.75" customHeight="1" x14ac:dyDescent="0.2">
      <c r="A28" s="38" t="s">
        <v>30</v>
      </c>
      <c r="B28" s="38">
        <v>3206430.78</v>
      </c>
      <c r="C28" s="39"/>
      <c r="D28" s="40"/>
      <c r="E28" s="39"/>
      <c r="F28" s="39"/>
      <c r="G28" s="39">
        <v>67000</v>
      </c>
      <c r="H28" s="39"/>
      <c r="I28" s="39"/>
      <c r="J28" s="39"/>
      <c r="K28" s="39"/>
      <c r="L28" s="39"/>
      <c r="M28" s="40">
        <f>SUM(G28+L28)</f>
        <v>67000</v>
      </c>
      <c r="N28" s="41"/>
      <c r="O28" s="41"/>
      <c r="P28" s="39"/>
      <c r="Q28" s="39"/>
      <c r="R28" s="39"/>
      <c r="S28" s="42"/>
      <c r="T28" s="42"/>
      <c r="U28" s="39"/>
      <c r="V28" s="39"/>
      <c r="W28" s="39"/>
      <c r="X28" s="40">
        <f>R28+V28</f>
        <v>0</v>
      </c>
      <c r="Y28" s="43"/>
      <c r="Z28" s="43"/>
      <c r="AA28" s="43"/>
      <c r="AB28" s="43"/>
      <c r="AC28" s="43"/>
      <c r="AD28" s="44"/>
      <c r="AE28" s="44"/>
      <c r="AF28" s="43"/>
      <c r="AG28" s="43"/>
      <c r="AH28" s="43"/>
      <c r="AI28" s="45">
        <f>AB28+AG28</f>
        <v>0</v>
      </c>
      <c r="AJ28" s="43" t="e">
        <f>#REF!+AI28</f>
        <v>#REF!</v>
      </c>
      <c r="AK28" s="44"/>
      <c r="AL28" s="43"/>
      <c r="AM28" s="43"/>
      <c r="AN28" s="43"/>
      <c r="AO28" s="43">
        <f>AN28</f>
        <v>0</v>
      </c>
      <c r="AP28" s="44"/>
      <c r="AQ28" s="44"/>
      <c r="AR28" s="43"/>
      <c r="AS28" s="43"/>
      <c r="AT28" s="43">
        <f>AH28-AS28</f>
        <v>0</v>
      </c>
      <c r="AU28" s="40">
        <f>SUM(AN28+AS28)</f>
        <v>0</v>
      </c>
      <c r="AV28" s="44" t="e">
        <f>AJ28+AU28</f>
        <v>#REF!</v>
      </c>
      <c r="AW28" s="44"/>
      <c r="AX28" s="44"/>
      <c r="AY28" s="43"/>
      <c r="AZ28" s="43"/>
      <c r="BA28" s="43">
        <f>AZ28</f>
        <v>0</v>
      </c>
      <c r="BB28" s="44"/>
      <c r="BC28" s="44"/>
      <c r="BD28" s="43"/>
      <c r="BE28" s="43"/>
      <c r="BF28" s="43">
        <f>BE28</f>
        <v>0</v>
      </c>
      <c r="BG28" s="45">
        <f>BA28+BF28</f>
        <v>0</v>
      </c>
      <c r="BH28" s="44"/>
      <c r="BI28" s="44"/>
      <c r="BJ28" s="44"/>
      <c r="BK28" s="43">
        <v>0</v>
      </c>
      <c r="BL28" s="43"/>
      <c r="BM28" s="44"/>
      <c r="BN28" s="44"/>
      <c r="BO28" s="44"/>
      <c r="BP28" s="43">
        <v>0</v>
      </c>
      <c r="BQ28" s="43"/>
      <c r="BR28" s="44"/>
      <c r="BS28" s="45">
        <f>B28-M28-X28-AI28-AU28-BG28-BI28-BK28</f>
        <v>3139430.78</v>
      </c>
      <c r="BT28" s="16"/>
      <c r="BU28" s="19"/>
      <c r="BV28" s="2"/>
      <c r="IL28" s="3"/>
      <c r="IM28" s="3"/>
      <c r="IN28" s="3"/>
      <c r="IO28" s="3"/>
      <c r="IP28" s="3"/>
      <c r="IQ28" s="3"/>
      <c r="IR28" s="3"/>
      <c r="IS28" s="3"/>
    </row>
    <row r="29" spans="1:253" s="17" customFormat="1" ht="12.75" customHeight="1" x14ac:dyDescent="0.2">
      <c r="D29" s="18"/>
      <c r="E29" s="18"/>
      <c r="F29" s="18"/>
      <c r="G29" s="24"/>
      <c r="H29" s="24"/>
      <c r="I29" s="24"/>
      <c r="J29" s="18"/>
      <c r="K29" s="18"/>
      <c r="L29" s="24"/>
      <c r="M29" s="16"/>
      <c r="N29" s="16"/>
      <c r="O29" s="16"/>
      <c r="P29" s="18"/>
      <c r="Q29" s="18"/>
      <c r="R29" s="24"/>
      <c r="S29" s="24"/>
      <c r="T29" s="24"/>
      <c r="U29" s="24"/>
      <c r="V29" s="24"/>
      <c r="W29" s="24"/>
      <c r="X29" s="16"/>
      <c r="Y29" s="24"/>
      <c r="Z29" s="24"/>
      <c r="AA29" s="24"/>
      <c r="AB29" s="24"/>
      <c r="AC29" s="18"/>
      <c r="AD29" s="24"/>
      <c r="AE29" s="24"/>
      <c r="AF29" s="24"/>
      <c r="AG29" s="18"/>
      <c r="AH29" s="18"/>
      <c r="AI29" s="21"/>
      <c r="AJ29" s="18"/>
      <c r="AK29" s="24"/>
      <c r="AL29" s="24"/>
      <c r="AM29" s="24"/>
      <c r="AN29" s="18"/>
      <c r="AO29" s="18"/>
      <c r="AP29" s="24"/>
      <c r="AQ29" s="24"/>
      <c r="AR29" s="24"/>
      <c r="AS29" s="18"/>
      <c r="AT29" s="18"/>
      <c r="AU29" s="21"/>
      <c r="AV29" s="18"/>
      <c r="AW29" s="24"/>
      <c r="AX29" s="24"/>
      <c r="AY29" s="24"/>
      <c r="AZ29" s="18"/>
      <c r="BA29" s="18"/>
      <c r="BB29" s="24"/>
      <c r="BC29" s="24"/>
      <c r="BD29" s="24"/>
      <c r="BE29" s="18"/>
      <c r="BF29" s="18"/>
      <c r="BG29" s="21"/>
      <c r="BH29" s="18"/>
      <c r="BI29" s="24"/>
      <c r="BJ29" s="24"/>
      <c r="BK29" s="24"/>
      <c r="BL29" s="18"/>
      <c r="BM29" s="18"/>
      <c r="BN29" s="24"/>
      <c r="BO29" s="24"/>
      <c r="BP29" s="24"/>
      <c r="BQ29" s="18"/>
      <c r="BR29" s="18"/>
      <c r="BS29" s="24"/>
      <c r="BT29" s="18"/>
      <c r="BU29" s="16"/>
      <c r="IL29" s="3"/>
      <c r="IM29" s="3"/>
      <c r="IN29" s="3"/>
      <c r="IO29" s="3"/>
      <c r="IP29" s="3"/>
      <c r="IQ29" s="3"/>
      <c r="IR29" s="3"/>
      <c r="IS29" s="3"/>
    </row>
    <row r="30" spans="1:253" s="2" customFormat="1" ht="12.75" customHeight="1" x14ac:dyDescent="0.2">
      <c r="A30" s="54" t="s">
        <v>31</v>
      </c>
      <c r="B30" s="54"/>
      <c r="C30" s="50" t="s">
        <v>2</v>
      </c>
      <c r="D30" s="50"/>
      <c r="E30" s="50"/>
      <c r="F30" s="50"/>
      <c r="G30" s="34"/>
      <c r="H30" s="50" t="s">
        <v>3</v>
      </c>
      <c r="I30" s="50"/>
      <c r="J30" s="50"/>
      <c r="K30" s="50"/>
      <c r="L30" s="50"/>
      <c r="M30" s="51" t="s">
        <v>4</v>
      </c>
      <c r="N30" s="50" t="s">
        <v>5</v>
      </c>
      <c r="O30" s="50"/>
      <c r="P30" s="50"/>
      <c r="Q30" s="50"/>
      <c r="R30" s="50"/>
      <c r="S30" s="50" t="s">
        <v>6</v>
      </c>
      <c r="T30" s="50"/>
      <c r="U30" s="50"/>
      <c r="V30" s="50"/>
      <c r="W30" s="50"/>
      <c r="X30" s="51" t="s">
        <v>7</v>
      </c>
      <c r="Y30" s="50" t="s">
        <v>9</v>
      </c>
      <c r="Z30" s="50"/>
      <c r="AA30" s="50"/>
      <c r="AB30" s="50"/>
      <c r="AC30" s="50"/>
      <c r="AD30" s="50" t="s">
        <v>10</v>
      </c>
      <c r="AE30" s="50"/>
      <c r="AF30" s="50"/>
      <c r="AG30" s="50"/>
      <c r="AH30" s="50"/>
      <c r="AI30" s="51" t="s">
        <v>11</v>
      </c>
      <c r="AJ30" s="51" t="s">
        <v>8</v>
      </c>
      <c r="AK30" s="50" t="s">
        <v>12</v>
      </c>
      <c r="AL30" s="50"/>
      <c r="AM30" s="50"/>
      <c r="AN30" s="50"/>
      <c r="AO30" s="50"/>
      <c r="AP30" s="50" t="s">
        <v>13</v>
      </c>
      <c r="AQ30" s="50"/>
      <c r="AR30" s="50"/>
      <c r="AS30" s="50"/>
      <c r="AT30" s="50"/>
      <c r="AU30" s="51" t="s">
        <v>14</v>
      </c>
      <c r="AV30" s="51" t="s">
        <v>8</v>
      </c>
      <c r="AW30" s="50" t="s">
        <v>15</v>
      </c>
      <c r="AX30" s="50"/>
      <c r="AY30" s="50"/>
      <c r="AZ30" s="50"/>
      <c r="BA30" s="50"/>
      <c r="BB30" s="50" t="s">
        <v>16</v>
      </c>
      <c r="BC30" s="50"/>
      <c r="BD30" s="50"/>
      <c r="BE30" s="50"/>
      <c r="BF30" s="50"/>
      <c r="BG30" s="51" t="s">
        <v>17</v>
      </c>
      <c r="BH30" s="51" t="s">
        <v>8</v>
      </c>
      <c r="BI30" s="50" t="s">
        <v>18</v>
      </c>
      <c r="BJ30" s="50"/>
      <c r="BK30" s="50"/>
      <c r="BL30" s="50"/>
      <c r="BM30" s="50"/>
      <c r="BN30" s="50" t="s">
        <v>19</v>
      </c>
      <c r="BO30" s="50"/>
      <c r="BP30" s="50"/>
      <c r="BQ30" s="50"/>
      <c r="BR30" s="50"/>
      <c r="BS30" s="36" t="s">
        <v>20</v>
      </c>
      <c r="BT30" s="30"/>
      <c r="BU30" s="31"/>
      <c r="IO30" s="3"/>
      <c r="IP30" s="3"/>
      <c r="IQ30" s="3"/>
      <c r="IR30" s="3"/>
      <c r="IS30" s="3"/>
    </row>
    <row r="31" spans="1:253" s="2" customFormat="1" ht="12.75" customHeight="1" x14ac:dyDescent="0.2">
      <c r="A31" s="54"/>
      <c r="B31" s="54"/>
      <c r="C31" s="50" t="s">
        <v>21</v>
      </c>
      <c r="D31" s="50"/>
      <c r="E31" s="50" t="s">
        <v>22</v>
      </c>
      <c r="F31" s="50"/>
      <c r="G31" s="50" t="s">
        <v>23</v>
      </c>
      <c r="H31" s="50" t="s">
        <v>21</v>
      </c>
      <c r="I31" s="50"/>
      <c r="J31" s="50" t="s">
        <v>22</v>
      </c>
      <c r="K31" s="50"/>
      <c r="L31" s="50" t="s">
        <v>23</v>
      </c>
      <c r="M31" s="51"/>
      <c r="N31" s="50" t="s">
        <v>21</v>
      </c>
      <c r="O31" s="50"/>
      <c r="P31" s="50" t="s">
        <v>22</v>
      </c>
      <c r="Q31" s="50"/>
      <c r="R31" s="50" t="s">
        <v>23</v>
      </c>
      <c r="S31" s="50" t="s">
        <v>21</v>
      </c>
      <c r="T31" s="50"/>
      <c r="U31" s="50" t="s">
        <v>22</v>
      </c>
      <c r="V31" s="50"/>
      <c r="W31" s="50" t="s">
        <v>23</v>
      </c>
      <c r="X31" s="51"/>
      <c r="Y31" s="50" t="s">
        <v>21</v>
      </c>
      <c r="Z31" s="50"/>
      <c r="AA31" s="50" t="s">
        <v>22</v>
      </c>
      <c r="AB31" s="50"/>
      <c r="AC31" s="50" t="s">
        <v>23</v>
      </c>
      <c r="AD31" s="50" t="s">
        <v>21</v>
      </c>
      <c r="AE31" s="50"/>
      <c r="AF31" s="50" t="s">
        <v>22</v>
      </c>
      <c r="AG31" s="50"/>
      <c r="AH31" s="50" t="s">
        <v>23</v>
      </c>
      <c r="AI31" s="51"/>
      <c r="AJ31" s="51"/>
      <c r="AK31" s="50" t="s">
        <v>21</v>
      </c>
      <c r="AL31" s="50"/>
      <c r="AM31" s="50" t="s">
        <v>22</v>
      </c>
      <c r="AN31" s="50"/>
      <c r="AO31" s="50" t="s">
        <v>23</v>
      </c>
      <c r="AP31" s="50" t="s">
        <v>21</v>
      </c>
      <c r="AQ31" s="50"/>
      <c r="AR31" s="50" t="s">
        <v>22</v>
      </c>
      <c r="AS31" s="50"/>
      <c r="AT31" s="50" t="s">
        <v>23</v>
      </c>
      <c r="AU31" s="51"/>
      <c r="AV31" s="51"/>
      <c r="AW31" s="50" t="s">
        <v>21</v>
      </c>
      <c r="AX31" s="50"/>
      <c r="AY31" s="50" t="s">
        <v>22</v>
      </c>
      <c r="AZ31" s="50"/>
      <c r="BA31" s="50" t="s">
        <v>23</v>
      </c>
      <c r="BB31" s="50" t="s">
        <v>21</v>
      </c>
      <c r="BC31" s="50"/>
      <c r="BD31" s="50" t="s">
        <v>22</v>
      </c>
      <c r="BE31" s="50"/>
      <c r="BF31" s="50" t="s">
        <v>23</v>
      </c>
      <c r="BG31" s="51"/>
      <c r="BH31" s="51"/>
      <c r="BI31" s="50" t="s">
        <v>21</v>
      </c>
      <c r="BJ31" s="50"/>
      <c r="BK31" s="50" t="s">
        <v>22</v>
      </c>
      <c r="BL31" s="50"/>
      <c r="BM31" s="50"/>
      <c r="BN31" s="50" t="s">
        <v>21</v>
      </c>
      <c r="BO31" s="50"/>
      <c r="BP31" s="50" t="s">
        <v>22</v>
      </c>
      <c r="BQ31" s="50"/>
      <c r="BR31" s="50"/>
      <c r="BS31" s="50" t="s">
        <v>24</v>
      </c>
      <c r="BT31" s="32"/>
      <c r="BU31" s="33"/>
      <c r="IO31" s="3"/>
      <c r="IP31" s="3"/>
      <c r="IQ31" s="3"/>
      <c r="IR31" s="3"/>
      <c r="IS31" s="3"/>
    </row>
    <row r="32" spans="1:253" s="2" customFormat="1" ht="12.75" customHeight="1" x14ac:dyDescent="0.2">
      <c r="A32" s="54"/>
      <c r="B32" s="54"/>
      <c r="C32" s="34" t="s">
        <v>24</v>
      </c>
      <c r="D32" s="34" t="s">
        <v>25</v>
      </c>
      <c r="E32" s="34" t="s">
        <v>24</v>
      </c>
      <c r="F32" s="34" t="s">
        <v>25</v>
      </c>
      <c r="G32" s="50"/>
      <c r="H32" s="34" t="s">
        <v>24</v>
      </c>
      <c r="I32" s="34" t="s">
        <v>25</v>
      </c>
      <c r="J32" s="34" t="s">
        <v>24</v>
      </c>
      <c r="K32" s="34" t="s">
        <v>25</v>
      </c>
      <c r="L32" s="50"/>
      <c r="M32" s="51"/>
      <c r="N32" s="34" t="s">
        <v>24</v>
      </c>
      <c r="O32" s="34" t="s">
        <v>25</v>
      </c>
      <c r="P32" s="34" t="s">
        <v>24</v>
      </c>
      <c r="Q32" s="34" t="s">
        <v>25</v>
      </c>
      <c r="R32" s="50"/>
      <c r="S32" s="34" t="s">
        <v>24</v>
      </c>
      <c r="T32" s="34" t="s">
        <v>25</v>
      </c>
      <c r="U32" s="34" t="s">
        <v>24</v>
      </c>
      <c r="V32" s="34" t="s">
        <v>25</v>
      </c>
      <c r="W32" s="50"/>
      <c r="X32" s="51"/>
      <c r="Y32" s="34" t="s">
        <v>24</v>
      </c>
      <c r="Z32" s="34" t="s">
        <v>25</v>
      </c>
      <c r="AA32" s="34" t="s">
        <v>24</v>
      </c>
      <c r="AB32" s="34" t="s">
        <v>25</v>
      </c>
      <c r="AC32" s="50"/>
      <c r="AD32" s="34" t="s">
        <v>24</v>
      </c>
      <c r="AE32" s="34" t="s">
        <v>25</v>
      </c>
      <c r="AF32" s="34" t="s">
        <v>24</v>
      </c>
      <c r="AG32" s="34" t="s">
        <v>25</v>
      </c>
      <c r="AH32" s="50"/>
      <c r="AI32" s="51"/>
      <c r="AJ32" s="51"/>
      <c r="AK32" s="34" t="s">
        <v>24</v>
      </c>
      <c r="AL32" s="34" t="s">
        <v>25</v>
      </c>
      <c r="AM32" s="34" t="s">
        <v>24</v>
      </c>
      <c r="AN32" s="34" t="s">
        <v>25</v>
      </c>
      <c r="AO32" s="50"/>
      <c r="AP32" s="34" t="s">
        <v>24</v>
      </c>
      <c r="AQ32" s="34" t="s">
        <v>25</v>
      </c>
      <c r="AR32" s="34" t="s">
        <v>24</v>
      </c>
      <c r="AS32" s="34" t="s">
        <v>25</v>
      </c>
      <c r="AT32" s="50"/>
      <c r="AU32" s="51"/>
      <c r="AV32" s="51"/>
      <c r="AW32" s="34" t="s">
        <v>24</v>
      </c>
      <c r="AX32" s="34" t="s">
        <v>25</v>
      </c>
      <c r="AY32" s="34" t="s">
        <v>24</v>
      </c>
      <c r="AZ32" s="34" t="s">
        <v>25</v>
      </c>
      <c r="BA32" s="50"/>
      <c r="BB32" s="34" t="s">
        <v>24</v>
      </c>
      <c r="BC32" s="34" t="s">
        <v>25</v>
      </c>
      <c r="BD32" s="34" t="s">
        <v>24</v>
      </c>
      <c r="BE32" s="34" t="s">
        <v>25</v>
      </c>
      <c r="BF32" s="50"/>
      <c r="BG32" s="51"/>
      <c r="BH32" s="51"/>
      <c r="BI32" s="34" t="s">
        <v>24</v>
      </c>
      <c r="BJ32" s="34" t="s">
        <v>25</v>
      </c>
      <c r="BK32" s="34" t="s">
        <v>24</v>
      </c>
      <c r="BL32" s="34" t="s">
        <v>25</v>
      </c>
      <c r="BM32" s="4" t="s">
        <v>23</v>
      </c>
      <c r="BN32" s="34" t="s">
        <v>24</v>
      </c>
      <c r="BO32" s="34" t="s">
        <v>25</v>
      </c>
      <c r="BP32" s="34" t="s">
        <v>24</v>
      </c>
      <c r="BQ32" s="34" t="s">
        <v>25</v>
      </c>
      <c r="BR32" s="4" t="s">
        <v>23</v>
      </c>
      <c r="BS32" s="50"/>
      <c r="BT32" s="34" t="s">
        <v>25</v>
      </c>
      <c r="BU32" s="4" t="s">
        <v>23</v>
      </c>
      <c r="IO32" s="3"/>
      <c r="IP32" s="3"/>
      <c r="IQ32" s="3"/>
      <c r="IR32" s="3"/>
      <c r="IS32" s="3"/>
    </row>
    <row r="33" spans="1:253" s="24" customFormat="1" ht="12.75" customHeight="1" x14ac:dyDescent="0.2">
      <c r="A33" s="14" t="s">
        <v>32</v>
      </c>
      <c r="B33" s="9">
        <v>284567215.73000002</v>
      </c>
      <c r="C33" s="8"/>
      <c r="D33" s="8"/>
      <c r="E33" s="8">
        <v>37295379.140000001</v>
      </c>
      <c r="F33" s="8">
        <v>47799856.130000003</v>
      </c>
      <c r="G33" s="8">
        <f>F33-E33</f>
        <v>10504476.990000002</v>
      </c>
      <c r="H33" s="10"/>
      <c r="I33" s="10"/>
      <c r="J33" s="8">
        <f>22463166.86-G33</f>
        <v>11958689.869999997</v>
      </c>
      <c r="K33" s="8">
        <v>24390203.07</v>
      </c>
      <c r="L33" s="8">
        <f>K33-J33</f>
        <v>12431513.200000003</v>
      </c>
      <c r="M33" s="8">
        <f>F33+K33</f>
        <v>72190059.200000003</v>
      </c>
      <c r="N33" s="11"/>
      <c r="O33" s="11"/>
      <c r="P33" s="8">
        <f>23771037.75-L33</f>
        <v>11339524.549999997</v>
      </c>
      <c r="Q33" s="8">
        <v>25416155.050000001</v>
      </c>
      <c r="R33" s="8">
        <f>Q33-P33</f>
        <v>14076630.500000004</v>
      </c>
      <c r="S33" s="10"/>
      <c r="T33" s="10"/>
      <c r="U33" s="8">
        <f>23240889.08-R33</f>
        <v>9164258.5799999945</v>
      </c>
      <c r="V33" s="8">
        <v>25627708.739999998</v>
      </c>
      <c r="W33" s="8">
        <f>V33-U33</f>
        <v>16463450.160000004</v>
      </c>
      <c r="X33" s="8">
        <f>Q33+V33</f>
        <v>51043863.789999999</v>
      </c>
      <c r="Y33" s="8"/>
      <c r="Z33" s="8"/>
      <c r="AA33" s="8">
        <f>17101066.85-W33</f>
        <v>637616.68999999762</v>
      </c>
      <c r="AB33" s="8">
        <v>24850694.210000001</v>
      </c>
      <c r="AC33" s="8">
        <f>AB33-AA33</f>
        <v>24213077.520000003</v>
      </c>
      <c r="AD33" s="10"/>
      <c r="AE33" s="10"/>
      <c r="AF33" s="8">
        <f>20458390.84-AC33+3600000</f>
        <v>-154686.68000000343</v>
      </c>
      <c r="AG33" s="8">
        <v>22921555.52</v>
      </c>
      <c r="AH33" s="8">
        <f>AG33-AF33</f>
        <v>23076242.200000003</v>
      </c>
      <c r="AI33" s="8">
        <f>AB33+AG33</f>
        <v>47772249.730000004</v>
      </c>
      <c r="AJ33" s="8" t="e">
        <f>#REF!+AI33</f>
        <v>#REF!</v>
      </c>
      <c r="AK33" s="10"/>
      <c r="AL33" s="10"/>
      <c r="AM33" s="8">
        <f>23019211.23-AH33+4400000</f>
        <v>4342969.0299999975</v>
      </c>
      <c r="AN33" s="8">
        <v>29109172.600000001</v>
      </c>
      <c r="AO33" s="8">
        <f>AN33-AM33</f>
        <v>24766203.570000004</v>
      </c>
      <c r="AP33" s="10"/>
      <c r="AQ33" s="10"/>
      <c r="AR33" s="8">
        <f>22736635.98-AO33+2400000</f>
        <v>370432.40999999642</v>
      </c>
      <c r="AS33" s="8">
        <v>24596468.23</v>
      </c>
      <c r="AT33" s="8">
        <f>AS33-AR33</f>
        <v>24226035.820000004</v>
      </c>
      <c r="AU33" s="8">
        <f>AN33+AS33</f>
        <v>53705640.829999998</v>
      </c>
      <c r="AV33" s="10" t="e">
        <f>AJ33+AU33</f>
        <v>#REF!</v>
      </c>
      <c r="AW33" s="10"/>
      <c r="AX33" s="10"/>
      <c r="AY33" s="8">
        <f>22528901.91-AT33</f>
        <v>-1697133.9100000039</v>
      </c>
      <c r="AZ33" s="8">
        <v>28272995.129999999</v>
      </c>
      <c r="BA33" s="8">
        <f>AZ33-AY33</f>
        <v>29970129.040000003</v>
      </c>
      <c r="BB33" s="8"/>
      <c r="BC33" s="8"/>
      <c r="BD33" s="8">
        <v>20381273.16</v>
      </c>
      <c r="BE33" s="8">
        <v>20852798.84</v>
      </c>
      <c r="BF33" s="8">
        <f>BE33-BD33</f>
        <v>471525.6799999997</v>
      </c>
      <c r="BG33" s="8">
        <f>AY33+BD33</f>
        <v>18684139.249999996</v>
      </c>
      <c r="BH33" s="8" t="e">
        <f>AV33+BG33</f>
        <v>#REF!</v>
      </c>
      <c r="BI33" s="10"/>
      <c r="BJ33" s="10"/>
      <c r="BK33" s="8">
        <v>20773975.899999999</v>
      </c>
      <c r="BL33" s="8"/>
      <c r="BM33" s="10"/>
      <c r="BN33" s="8"/>
      <c r="BO33" s="10"/>
      <c r="BP33" s="8">
        <v>30797287.030000001</v>
      </c>
      <c r="BQ33" s="8"/>
      <c r="BR33" s="10"/>
      <c r="BS33" s="8">
        <f>SUM(M33+X33+AI33+AU33+BG33+BK33+BP33)</f>
        <v>294967215.73000002</v>
      </c>
      <c r="BT33" s="9" t="e">
        <f>#REF!+K33+Q33+V33+AB33+AG33+AN33+AS33+AZ33+BE33+BL33+BQ33</f>
        <v>#REF!</v>
      </c>
      <c r="BU33" s="11" t="e">
        <f>BS33-BT33</f>
        <v>#REF!</v>
      </c>
      <c r="IO33" s="3"/>
      <c r="IP33" s="3"/>
      <c r="IQ33" s="3"/>
      <c r="IR33" s="3"/>
      <c r="IS33" s="3"/>
    </row>
    <row r="34" spans="1:253" s="24" customFormat="1" ht="12.75" customHeight="1" x14ac:dyDescent="0.2">
      <c r="A34" s="14" t="s">
        <v>33</v>
      </c>
      <c r="B34" s="9">
        <f>244461517.94+27360000+8060000+2376000</f>
        <v>282257517.94</v>
      </c>
      <c r="C34" s="8">
        <f>C27-C44</f>
        <v>4340000</v>
      </c>
      <c r="D34" s="8">
        <f>D27</f>
        <v>3924620.62</v>
      </c>
      <c r="E34" s="8">
        <f>47795038.06+13665095.8</f>
        <v>61460133.859999999</v>
      </c>
      <c r="F34" s="8">
        <v>19164490.379999999</v>
      </c>
      <c r="G34" s="8">
        <f>C34-D34+E34-F34</f>
        <v>42711022.859999999</v>
      </c>
      <c r="H34" s="8">
        <f>H54-H44</f>
        <v>4235379.38</v>
      </c>
      <c r="I34" s="8">
        <f>I27-I44</f>
        <v>3951208.91</v>
      </c>
      <c r="J34" s="8">
        <f>22264978.28+117700+G34</f>
        <v>65093701.140000001</v>
      </c>
      <c r="K34" s="8">
        <v>18516886.48</v>
      </c>
      <c r="L34" s="8">
        <f>SUM(H34-I34,J34-K34)</f>
        <v>46860985.129999995</v>
      </c>
      <c r="M34" s="8">
        <f>D34+F34+I34+K34</f>
        <v>45557206.390000001</v>
      </c>
      <c r="N34" s="8">
        <f>N54-N44</f>
        <v>3906170.47</v>
      </c>
      <c r="O34" s="8">
        <f>O54-O44</f>
        <v>3723273.47</v>
      </c>
      <c r="P34" s="8">
        <f>21570389.2+L34+3867154.3</f>
        <v>72298528.629999995</v>
      </c>
      <c r="Q34" s="8">
        <v>22297417.07</v>
      </c>
      <c r="R34" s="8">
        <f>SUM(N34-O34,P34-Q34)</f>
        <v>50184008.559999995</v>
      </c>
      <c r="S34" s="8">
        <f>S54-S44</f>
        <v>3824897</v>
      </c>
      <c r="T34" s="8">
        <f>T27-T44</f>
        <v>3717752.24</v>
      </c>
      <c r="U34" s="8">
        <f>18829914.96+R34+4224540</f>
        <v>73238463.519999996</v>
      </c>
      <c r="V34" s="8">
        <v>19587240.309999999</v>
      </c>
      <c r="W34" s="8">
        <f>SUM(S34-T34,U34-V34)</f>
        <v>53758367.969999991</v>
      </c>
      <c r="X34" s="8">
        <f>O34+Q34+T34+V34</f>
        <v>49325683.090000004</v>
      </c>
      <c r="Y34" s="8">
        <f>Y54-Y44</f>
        <v>3829144.7600000002</v>
      </c>
      <c r="Z34" s="8">
        <f>Z54-Z44</f>
        <v>3737968.0500000003</v>
      </c>
      <c r="AA34" s="8">
        <f>16195999.83+W34+6808237.4</f>
        <v>76762605.200000003</v>
      </c>
      <c r="AB34" s="8">
        <v>21699031.579999998</v>
      </c>
      <c r="AC34" s="8">
        <f>Y34-Z34+AA34-AB34</f>
        <v>55154750.329999998</v>
      </c>
      <c r="AD34" s="8">
        <f>AD54-AD44</f>
        <v>3413176.71</v>
      </c>
      <c r="AE34" s="8">
        <f>AE54-AE44</f>
        <v>2476879.0699999998</v>
      </c>
      <c r="AF34" s="8">
        <f>17589577.22+AC34+2513900+3600000</f>
        <v>78858227.549999997</v>
      </c>
      <c r="AG34" s="8">
        <v>18751388.219999999</v>
      </c>
      <c r="AH34" s="8">
        <f>AD34-AE34+AF34-AG34</f>
        <v>61043136.969999999</v>
      </c>
      <c r="AI34" s="8">
        <f>Z34+AB34+AE34+AG34</f>
        <v>46665266.920000002</v>
      </c>
      <c r="AJ34" s="8" t="e">
        <f>#REF!+AI34</f>
        <v>#REF!</v>
      </c>
      <c r="AK34" s="8">
        <f>AK54-AK44</f>
        <v>4278297.6399999997</v>
      </c>
      <c r="AL34" s="8">
        <f>AL54-AL44</f>
        <v>2482939.6</v>
      </c>
      <c r="AM34" s="8">
        <f>17224441.39+AH34+612000</f>
        <v>78879578.359999999</v>
      </c>
      <c r="AN34" s="8">
        <v>19592522.940000001</v>
      </c>
      <c r="AO34" s="8">
        <f>AK34-AL34+AM34-AN34</f>
        <v>61082413.460000008</v>
      </c>
      <c r="AP34" s="8">
        <f>AP54-AP44</f>
        <v>4257358.0399999991</v>
      </c>
      <c r="AQ34" s="8">
        <f>AQ54-AQ44</f>
        <v>1978290.12</v>
      </c>
      <c r="AR34" s="8">
        <f>19050120.7+AO34+132200</f>
        <v>80264734.160000011</v>
      </c>
      <c r="AS34" s="8">
        <v>21154520.329999998</v>
      </c>
      <c r="AT34" s="8">
        <f>AP34-AQ34+AR34-AS34</f>
        <v>61389281.750000015</v>
      </c>
      <c r="AU34" s="8">
        <f>AL34+AN34+AQ34+AS34</f>
        <v>45208272.990000002</v>
      </c>
      <c r="AV34" s="9" t="e">
        <f>AJ34+AU34</f>
        <v>#REF!</v>
      </c>
      <c r="AW34" s="8">
        <f>AW54-AW44</f>
        <v>4701067.92</v>
      </c>
      <c r="AX34" s="8">
        <f>AX54-AX44</f>
        <v>0</v>
      </c>
      <c r="AY34" s="8">
        <f>16551115.19+AT34</f>
        <v>77940396.940000013</v>
      </c>
      <c r="AZ34" s="8">
        <v>18222600.960000001</v>
      </c>
      <c r="BA34" s="8">
        <f>AW34-AX34+AY34-AZ34</f>
        <v>64418863.900000013</v>
      </c>
      <c r="BB34" s="8">
        <f>BB54-BB44</f>
        <v>2422000</v>
      </c>
      <c r="BC34" s="8">
        <f>BC54-BC44</f>
        <v>0</v>
      </c>
      <c r="BD34" s="8">
        <v>17361795.050000001</v>
      </c>
      <c r="BE34" s="8">
        <v>19363949.890000001</v>
      </c>
      <c r="BF34" s="8">
        <f>BB34-BC34+BD34-BE34</f>
        <v>419845.16000000015</v>
      </c>
      <c r="BG34" s="8">
        <f>AW34+AY34+BB34+BD34</f>
        <v>102425259.91000001</v>
      </c>
      <c r="BH34" s="9" t="e">
        <f>AV34+BG34</f>
        <v>#REF!</v>
      </c>
      <c r="BI34" s="8">
        <f>BI54-BI44</f>
        <v>2422000</v>
      </c>
      <c r="BJ34" s="9"/>
      <c r="BK34" s="8">
        <v>17783143.25</v>
      </c>
      <c r="BL34" s="9"/>
      <c r="BM34" s="9">
        <f>BL27</f>
        <v>0</v>
      </c>
      <c r="BN34" s="8">
        <f>BN54-BN44</f>
        <v>2258000</v>
      </c>
      <c r="BO34" s="9"/>
      <c r="BP34" s="8">
        <v>12245004.810000001</v>
      </c>
      <c r="BQ34" s="9"/>
      <c r="BR34" s="9">
        <f>BQ27</f>
        <v>0</v>
      </c>
      <c r="BS34" s="8">
        <f>SUM(M34+X34+AI34+AU34+BG34+BI34+BK34+BN34+BP34)</f>
        <v>323889837.36000001</v>
      </c>
      <c r="BT34" s="8">
        <f>BR27-BR28</f>
        <v>0</v>
      </c>
      <c r="BU34" s="8">
        <f>BS27-BS28</f>
        <v>798933398.88</v>
      </c>
      <c r="IO34" s="3"/>
      <c r="IP34" s="3"/>
      <c r="IQ34" s="3"/>
      <c r="IR34" s="3"/>
      <c r="IS34" s="3"/>
    </row>
    <row r="35" spans="1:253" s="24" customFormat="1" ht="12.75" customHeight="1" x14ac:dyDescent="0.2">
      <c r="A35" s="14" t="s">
        <v>58</v>
      </c>
      <c r="B35" s="9">
        <f>B33-B34</f>
        <v>2309697.7900000215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9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9"/>
      <c r="BI35" s="8"/>
      <c r="BJ35" s="9"/>
      <c r="BK35" s="8"/>
      <c r="BL35" s="9"/>
      <c r="BM35" s="9"/>
      <c r="BN35" s="8"/>
      <c r="BO35" s="9"/>
      <c r="BP35" s="8"/>
      <c r="BQ35" s="9"/>
      <c r="BR35" s="9"/>
      <c r="BS35" s="8">
        <f>B35</f>
        <v>2309697.7900000215</v>
      </c>
      <c r="BT35" s="8"/>
      <c r="BU35" s="8"/>
      <c r="IO35" s="3"/>
      <c r="IP35" s="3"/>
      <c r="IQ35" s="3"/>
      <c r="IR35" s="3"/>
      <c r="IS35" s="3"/>
    </row>
    <row r="36" spans="1:253" s="24" customFormat="1" ht="15.75" customHeight="1" x14ac:dyDescent="0.2">
      <c r="A36" s="14" t="s">
        <v>53</v>
      </c>
      <c r="B36" s="9"/>
      <c r="C36" s="8"/>
      <c r="D36" s="8"/>
      <c r="E36" s="8">
        <f>E33-C34-E34</f>
        <v>-28504754.719999999</v>
      </c>
      <c r="F36" s="8">
        <f>F33-D34-F34</f>
        <v>24710745.130000006</v>
      </c>
      <c r="G36" s="8"/>
      <c r="H36" s="8"/>
      <c r="I36" s="8"/>
      <c r="J36" s="8">
        <f>J33-H34-J34</f>
        <v>-57370390.650000006</v>
      </c>
      <c r="K36" s="8">
        <f>K33-I34-K34</f>
        <v>1922107.6799999997</v>
      </c>
      <c r="L36" s="8"/>
      <c r="M36" s="8">
        <f>M33-M34</f>
        <v>26632852.810000002</v>
      </c>
      <c r="N36" s="8"/>
      <c r="O36" s="8"/>
      <c r="P36" s="8">
        <f>P33-N34-P34</f>
        <v>-64865174.549999997</v>
      </c>
      <c r="Q36" s="8">
        <f>Q33-O34-Q34</f>
        <v>-604535.48999999836</v>
      </c>
      <c r="R36" s="9"/>
      <c r="S36" s="8"/>
      <c r="T36" s="8"/>
      <c r="U36" s="8">
        <f>U33-S34-U34</f>
        <v>-67899101.939999998</v>
      </c>
      <c r="V36" s="8">
        <f>V33-T34-V34</f>
        <v>2322716.1900000013</v>
      </c>
      <c r="W36" s="9"/>
      <c r="X36" s="8">
        <f>X33-X34</f>
        <v>1718180.6999999955</v>
      </c>
      <c r="Y36" s="8"/>
      <c r="Z36" s="8"/>
      <c r="AA36" s="8">
        <f>AA33-Y34-AA34</f>
        <v>-79954133.270000011</v>
      </c>
      <c r="AB36" s="8">
        <f>AB33-Z34-AB34</f>
        <v>-586305.41999999806</v>
      </c>
      <c r="AC36" s="9"/>
      <c r="AD36" s="8"/>
      <c r="AE36" s="8"/>
      <c r="AF36" s="8">
        <f>AF33-AD34-AF34</f>
        <v>-82426090.939999998</v>
      </c>
      <c r="AG36" s="8">
        <f>AG33-AE34-AG34</f>
        <v>1693288.2300000004</v>
      </c>
      <c r="AH36" s="8"/>
      <c r="AI36" s="8">
        <f>AI33-AI34</f>
        <v>1106982.8100000024</v>
      </c>
      <c r="AJ36" s="8"/>
      <c r="AK36" s="8"/>
      <c r="AL36" s="8"/>
      <c r="AM36" s="8">
        <f>AM33-AK34-AM34</f>
        <v>-78814906.969999999</v>
      </c>
      <c r="AN36" s="8">
        <f>AN33-AL34-AN34</f>
        <v>7033710.0599999987</v>
      </c>
      <c r="AO36" s="8"/>
      <c r="AP36" s="8"/>
      <c r="AQ36" s="8"/>
      <c r="AR36" s="8">
        <f>AR33-AP34-AR34</f>
        <v>-84151659.790000021</v>
      </c>
      <c r="AS36" s="8">
        <f>AS33-AQ34-AS34</f>
        <v>1463657.7800000012</v>
      </c>
      <c r="AT36" s="8"/>
      <c r="AU36" s="8">
        <f>AU33-AU34</f>
        <v>8497367.8399999961</v>
      </c>
      <c r="AV36" s="9"/>
      <c r="AW36" s="8"/>
      <c r="AX36" s="8"/>
      <c r="AY36" s="8">
        <f>AY33-AW34-AY34</f>
        <v>-84338598.770000011</v>
      </c>
      <c r="AZ36" s="8">
        <f>AZ33-AX34-AZ34</f>
        <v>10050394.169999998</v>
      </c>
      <c r="BA36" s="8"/>
      <c r="BB36" s="8"/>
      <c r="BC36" s="8"/>
      <c r="BD36" s="8">
        <f>BD33-BB34-BD34</f>
        <v>597478.1099999994</v>
      </c>
      <c r="BE36" s="8">
        <f>BE33-BC34-BE34</f>
        <v>1488848.9499999993</v>
      </c>
      <c r="BF36" s="8"/>
      <c r="BG36" s="8">
        <f>BG33-BG34</f>
        <v>-83741120.660000011</v>
      </c>
      <c r="BH36" s="9"/>
      <c r="BI36" s="8"/>
      <c r="BJ36" s="9"/>
      <c r="BK36" s="8">
        <f>BK33-BI34-BK34</f>
        <v>568832.64999999851</v>
      </c>
      <c r="BL36" s="9"/>
      <c r="BM36" s="9"/>
      <c r="BN36" s="8"/>
      <c r="BO36" s="9"/>
      <c r="BP36" s="8">
        <f>BP33-BN34-BP34</f>
        <v>16294282.220000001</v>
      </c>
      <c r="BQ36" s="9"/>
      <c r="BR36" s="9"/>
      <c r="BS36" s="8">
        <f>BS33-BS34</f>
        <v>-28922621.629999995</v>
      </c>
      <c r="BT36" s="8"/>
      <c r="BU36" s="8"/>
      <c r="IO36" s="3"/>
      <c r="IP36" s="3"/>
      <c r="IQ36" s="3"/>
      <c r="IR36" s="3"/>
      <c r="IS36" s="3"/>
    </row>
    <row r="37" spans="1:253" s="24" customFormat="1" ht="15.75" customHeight="1" x14ac:dyDescent="0.2">
      <c r="A37" s="14" t="s">
        <v>54</v>
      </c>
      <c r="B37" s="9">
        <f>B33+B38-B34-B35</f>
        <v>46082980.430000007</v>
      </c>
      <c r="C37" s="8"/>
      <c r="D37" s="8"/>
      <c r="E37" s="8">
        <f>E36+B37</f>
        <v>17578225.710000008</v>
      </c>
      <c r="F37" s="8">
        <f>F36+B37</f>
        <v>70793725.560000017</v>
      </c>
      <c r="G37" s="8"/>
      <c r="H37" s="8"/>
      <c r="I37" s="8"/>
      <c r="J37" s="8">
        <f>F37+J36</f>
        <v>13423334.910000011</v>
      </c>
      <c r="K37" s="8">
        <f>K36+F37</f>
        <v>72715833.24000001</v>
      </c>
      <c r="L37" s="8"/>
      <c r="M37" s="8">
        <f>M36+B38</f>
        <v>72715833.24000001</v>
      </c>
      <c r="N37" s="11"/>
      <c r="O37" s="11"/>
      <c r="P37" s="8">
        <f>P36+M37</f>
        <v>7850658.6900000125</v>
      </c>
      <c r="Q37" s="8">
        <f>M37+Q36</f>
        <v>72111297.750000015</v>
      </c>
      <c r="R37" s="8"/>
      <c r="S37" s="8"/>
      <c r="T37" s="8"/>
      <c r="U37" s="8">
        <f>U36+P37</f>
        <v>-60048443.249999985</v>
      </c>
      <c r="V37" s="8">
        <f>V36+Q37</f>
        <v>74434013.940000013</v>
      </c>
      <c r="W37" s="8"/>
      <c r="X37" s="8">
        <f>X36+M37</f>
        <v>74434013.939999998</v>
      </c>
      <c r="Y37" s="8"/>
      <c r="Z37" s="8"/>
      <c r="AA37" s="8">
        <f>AA36+X37</f>
        <v>-5520119.3300000131</v>
      </c>
      <c r="AB37" s="8">
        <f>AB36+V37</f>
        <v>73847708.520000011</v>
      </c>
      <c r="AC37" s="8"/>
      <c r="AD37" s="8" t="s">
        <v>27</v>
      </c>
      <c r="AE37" s="8"/>
      <c r="AF37" s="8">
        <f>AF36+AB37</f>
        <v>-8578382.4199999869</v>
      </c>
      <c r="AG37" s="8">
        <f>AG36+AB37</f>
        <v>75540996.750000015</v>
      </c>
      <c r="AH37" s="8"/>
      <c r="AI37" s="8">
        <f>AI36+X37</f>
        <v>75540996.75</v>
      </c>
      <c r="AJ37" s="8" t="e">
        <f>AJ33+AJ34+#REF!-#REF!-#REF!-#REF!-#REF!</f>
        <v>#REF!</v>
      </c>
      <c r="AK37" s="8" t="s">
        <v>27</v>
      </c>
      <c r="AL37" s="8"/>
      <c r="AM37" s="8">
        <f>AM36+AI37</f>
        <v>-3273910.2199999988</v>
      </c>
      <c r="AN37" s="8">
        <f>AN36+AG37</f>
        <v>82574706.810000017</v>
      </c>
      <c r="AO37" s="8"/>
      <c r="AP37" s="8"/>
      <c r="AQ37" s="8"/>
      <c r="AR37" s="8">
        <f>AR36+AM37</f>
        <v>-87425570.01000002</v>
      </c>
      <c r="AS37" s="8">
        <f>AS36+AN37</f>
        <v>84038364.590000018</v>
      </c>
      <c r="AT37" s="8"/>
      <c r="AU37" s="8">
        <f>AU36+AI37</f>
        <v>84038364.590000004</v>
      </c>
      <c r="AV37" s="8" t="e">
        <f>AV33+AV34+#REF!-#REF!-#REF!-#REF!-#REF!</f>
        <v>#REF!</v>
      </c>
      <c r="AW37" s="8"/>
      <c r="AX37" s="8"/>
      <c r="AY37" s="8">
        <f>AY36+AS37</f>
        <v>-300234.17999999225</v>
      </c>
      <c r="AZ37" s="8">
        <f>AZ36+AS37</f>
        <v>94088758.76000002</v>
      </c>
      <c r="BA37" s="8"/>
      <c r="BB37" s="8"/>
      <c r="BC37" s="8"/>
      <c r="BD37" s="8">
        <f>BD36+AY37</f>
        <v>297243.93000000715</v>
      </c>
      <c r="BE37" s="8">
        <f>BE36+AZ37</f>
        <v>95577607.710000023</v>
      </c>
      <c r="BF37" s="8"/>
      <c r="BG37" s="8">
        <f>BG36+AU37</f>
        <v>297243.92999999225</v>
      </c>
      <c r="BH37" s="8" t="e">
        <f>BH33+BH34+#REF!-#REF!-#REF!-#REF!-#REF!</f>
        <v>#REF!</v>
      </c>
      <c r="BI37" s="8"/>
      <c r="BJ37" s="8"/>
      <c r="BK37" s="8">
        <f>BK36+BD37</f>
        <v>866076.58000000566</v>
      </c>
      <c r="BL37" s="8">
        <f>BL33-SUM(BL34:BL36)</f>
        <v>0</v>
      </c>
      <c r="BM37" s="8">
        <f>BM33-SUM(BM34:BM36)</f>
        <v>0</v>
      </c>
      <c r="BN37" s="8"/>
      <c r="BO37" s="8"/>
      <c r="BP37" s="8">
        <f>BP36+BK37</f>
        <v>17160358.800000004</v>
      </c>
      <c r="BQ37" s="8">
        <f>BQ33-SUM(BQ34:BQ36)</f>
        <v>0</v>
      </c>
      <c r="BR37" s="8">
        <f>BR33-SUM(BR34:BR36)</f>
        <v>0</v>
      </c>
      <c r="BS37" s="8">
        <f>BG37+BP36+BK36</f>
        <v>17160358.79999999</v>
      </c>
      <c r="BT37" s="8" t="e">
        <f>BT33-SUM(BU34:BU36)</f>
        <v>#REF!</v>
      </c>
      <c r="BU37" s="8" t="e">
        <f>BU33-SUM(#REF!)</f>
        <v>#REF!</v>
      </c>
      <c r="IO37" s="3"/>
      <c r="IP37" s="3"/>
      <c r="IQ37" s="3"/>
      <c r="IR37" s="3"/>
      <c r="IS37" s="3"/>
    </row>
    <row r="38" spans="1:253" s="24" customFormat="1" ht="12.75" customHeight="1" x14ac:dyDescent="0.2">
      <c r="A38" s="48" t="s">
        <v>35</v>
      </c>
      <c r="B38" s="45">
        <v>46082980.43</v>
      </c>
      <c r="C38" s="43"/>
      <c r="D38" s="43"/>
      <c r="E38" s="43"/>
      <c r="F38" s="43">
        <v>13665095.800000001</v>
      </c>
      <c r="G38" s="43"/>
      <c r="H38" s="43"/>
      <c r="I38" s="43"/>
      <c r="J38" s="43">
        <f>G38</f>
        <v>0</v>
      </c>
      <c r="K38" s="43">
        <v>117700</v>
      </c>
      <c r="L38" s="43"/>
      <c r="M38" s="43">
        <f>F38+K38</f>
        <v>13782795.800000001</v>
      </c>
      <c r="N38" s="49"/>
      <c r="O38" s="49"/>
      <c r="P38" s="43">
        <f>L38</f>
        <v>0</v>
      </c>
      <c r="Q38" s="43">
        <v>3867154.3</v>
      </c>
      <c r="R38" s="43"/>
      <c r="S38" s="43"/>
      <c r="T38" s="43"/>
      <c r="U38" s="43"/>
      <c r="V38" s="43">
        <v>4224540</v>
      </c>
      <c r="W38" s="43"/>
      <c r="X38" s="43">
        <f>Q38+V38</f>
        <v>8091694.2999999998</v>
      </c>
      <c r="Y38" s="43"/>
      <c r="Z38" s="43"/>
      <c r="AA38" s="43"/>
      <c r="AB38" s="43">
        <v>6808237.4000000004</v>
      </c>
      <c r="AC38" s="43"/>
      <c r="AD38" s="43"/>
      <c r="AE38" s="43"/>
      <c r="AF38" s="43"/>
      <c r="AG38" s="43">
        <v>2513900</v>
      </c>
      <c r="AH38" s="43"/>
      <c r="AI38" s="43">
        <f>AB38+AG38</f>
        <v>9322137.4000000004</v>
      </c>
      <c r="AJ38" s="43"/>
      <c r="AK38" s="43"/>
      <c r="AL38" s="43"/>
      <c r="AM38" s="43"/>
      <c r="AN38" s="43">
        <v>612000</v>
      </c>
      <c r="AO38" s="43"/>
      <c r="AP38" s="43"/>
      <c r="AQ38" s="43"/>
      <c r="AR38" s="43"/>
      <c r="AS38" s="43">
        <v>132200</v>
      </c>
      <c r="AT38" s="43"/>
      <c r="AU38" s="43">
        <f>AN38+AS38</f>
        <v>744200</v>
      </c>
      <c r="AV38" s="43"/>
      <c r="AW38" s="43"/>
      <c r="AX38" s="43"/>
      <c r="AY38" s="43"/>
      <c r="AZ38" s="43"/>
      <c r="BA38" s="43">
        <f>AY38-AZ38</f>
        <v>0</v>
      </c>
      <c r="BB38" s="43"/>
      <c r="BC38" s="43"/>
      <c r="BD38" s="43">
        <f>BA38</f>
        <v>0</v>
      </c>
      <c r="BE38" s="43"/>
      <c r="BF38" s="43">
        <f>BA38</f>
        <v>0</v>
      </c>
      <c r="BG38" s="43">
        <v>0</v>
      </c>
      <c r="BH38" s="43"/>
      <c r="BI38" s="43"/>
      <c r="BJ38" s="43"/>
      <c r="BK38" s="43">
        <f>BF38</f>
        <v>0</v>
      </c>
      <c r="BL38" s="43"/>
      <c r="BM38" s="43"/>
      <c r="BN38" s="43"/>
      <c r="BO38" s="43"/>
      <c r="BP38" s="43"/>
      <c r="BQ38" s="43"/>
      <c r="BR38" s="43"/>
      <c r="BS38" s="43">
        <f>B38</f>
        <v>46082980.43</v>
      </c>
      <c r="BT38" s="8"/>
      <c r="BU38" s="8"/>
      <c r="IO38" s="3"/>
      <c r="IP38" s="3"/>
      <c r="IQ38" s="3"/>
      <c r="IR38" s="3"/>
      <c r="IS38" s="3"/>
    </row>
    <row r="39" spans="1:253" ht="12.75" customHeight="1" x14ac:dyDescent="0.2">
      <c r="E39" s="2">
        <f>E34</f>
        <v>61460133.859999999</v>
      </c>
      <c r="G39" s="24"/>
      <c r="H39" s="20"/>
      <c r="I39" s="20"/>
      <c r="K39" s="24"/>
      <c r="N39" s="19"/>
      <c r="O39" s="19"/>
      <c r="P39" s="24"/>
      <c r="Q39" s="16"/>
      <c r="R39" s="20"/>
      <c r="S39" s="20"/>
      <c r="T39" s="20"/>
      <c r="V39" s="24"/>
      <c r="W39" s="24"/>
      <c r="X39" s="24"/>
      <c r="AA39" s="16">
        <v>20299865.149999999</v>
      </c>
      <c r="AC39" s="20"/>
      <c r="AD39" s="20"/>
      <c r="AE39" s="20"/>
      <c r="AG39" s="24"/>
      <c r="AI39" s="20"/>
      <c r="AJ39" s="20"/>
      <c r="AK39" s="20"/>
      <c r="AM39" s="16"/>
      <c r="AN39" s="24"/>
      <c r="AQ39" s="20"/>
      <c r="AS39" s="24"/>
      <c r="AU39" s="20"/>
      <c r="AV39" s="20"/>
      <c r="AW39" s="20"/>
      <c r="AY39" s="24"/>
      <c r="AZ39" s="24"/>
      <c r="BA39" s="24"/>
      <c r="BB39" s="24"/>
      <c r="BF39" s="20"/>
      <c r="BG39" s="20"/>
      <c r="BH39" s="20"/>
      <c r="BI39" s="20"/>
      <c r="BK39" s="16"/>
      <c r="BL39" s="24"/>
      <c r="BM39" s="24"/>
      <c r="BN39" s="24"/>
      <c r="BS39" s="16"/>
      <c r="BT39" s="16"/>
      <c r="BU39" s="19"/>
      <c r="BV39" s="2"/>
      <c r="IO39" s="3"/>
      <c r="IP39" s="3"/>
      <c r="IQ39" s="3"/>
      <c r="IR39" s="3"/>
    </row>
    <row r="40" spans="1:253" s="2" customFormat="1" ht="12.75" customHeight="1" x14ac:dyDescent="0.2">
      <c r="A40" s="54" t="s">
        <v>34</v>
      </c>
      <c r="B40" s="54"/>
      <c r="C40" s="50" t="s">
        <v>2</v>
      </c>
      <c r="D40" s="50"/>
      <c r="E40" s="50"/>
      <c r="F40" s="50"/>
      <c r="G40" s="34"/>
      <c r="H40" s="50" t="s">
        <v>3</v>
      </c>
      <c r="I40" s="50"/>
      <c r="J40" s="50"/>
      <c r="K40" s="50"/>
      <c r="L40" s="50"/>
      <c r="M40" s="51" t="s">
        <v>4</v>
      </c>
      <c r="N40" s="50" t="s">
        <v>5</v>
      </c>
      <c r="O40" s="50"/>
      <c r="P40" s="50"/>
      <c r="Q40" s="50"/>
      <c r="R40" s="50"/>
      <c r="S40" s="50" t="s">
        <v>6</v>
      </c>
      <c r="T40" s="50"/>
      <c r="U40" s="50"/>
      <c r="V40" s="50"/>
      <c r="W40" s="50"/>
      <c r="X40" s="51" t="s">
        <v>7</v>
      </c>
      <c r="Y40" s="50" t="s">
        <v>9</v>
      </c>
      <c r="Z40" s="50"/>
      <c r="AA40" s="50"/>
      <c r="AB40" s="50"/>
      <c r="AC40" s="50"/>
      <c r="AD40" s="50" t="s">
        <v>10</v>
      </c>
      <c r="AE40" s="50"/>
      <c r="AF40" s="50"/>
      <c r="AG40" s="50"/>
      <c r="AH40" s="50"/>
      <c r="AI40" s="51" t="s">
        <v>11</v>
      </c>
      <c r="AJ40" s="51" t="s">
        <v>8</v>
      </c>
      <c r="AK40" s="50" t="s">
        <v>12</v>
      </c>
      <c r="AL40" s="50"/>
      <c r="AM40" s="50"/>
      <c r="AN40" s="50"/>
      <c r="AO40" s="50"/>
      <c r="AP40" s="50" t="s">
        <v>13</v>
      </c>
      <c r="AQ40" s="50"/>
      <c r="AR40" s="50"/>
      <c r="AS40" s="50"/>
      <c r="AT40" s="50"/>
      <c r="AU40" s="51" t="s">
        <v>14</v>
      </c>
      <c r="AV40" s="51" t="s">
        <v>8</v>
      </c>
      <c r="AW40" s="50" t="s">
        <v>15</v>
      </c>
      <c r="AX40" s="50"/>
      <c r="AY40" s="50"/>
      <c r="AZ40" s="50"/>
      <c r="BA40" s="50"/>
      <c r="BB40" s="50" t="s">
        <v>16</v>
      </c>
      <c r="BC40" s="50"/>
      <c r="BD40" s="50"/>
      <c r="BE40" s="50"/>
      <c r="BF40" s="50"/>
      <c r="BG40" s="51" t="s">
        <v>17</v>
      </c>
      <c r="BH40" s="51" t="s">
        <v>8</v>
      </c>
      <c r="BI40" s="50" t="s">
        <v>18</v>
      </c>
      <c r="BJ40" s="50"/>
      <c r="BK40" s="50"/>
      <c r="BL40" s="50"/>
      <c r="BM40" s="50"/>
      <c r="BN40" s="50" t="s">
        <v>19</v>
      </c>
      <c r="BO40" s="50"/>
      <c r="BP40" s="50"/>
      <c r="BQ40" s="50"/>
      <c r="BR40" s="50"/>
      <c r="BS40" s="36" t="s">
        <v>20</v>
      </c>
      <c r="BT40" s="30"/>
      <c r="BU40" s="31"/>
      <c r="IO40" s="3"/>
      <c r="IP40" s="3"/>
      <c r="IQ40" s="3"/>
      <c r="IR40" s="3"/>
      <c r="IS40" s="3"/>
    </row>
    <row r="41" spans="1:253" s="2" customFormat="1" ht="12.75" customHeight="1" x14ac:dyDescent="0.2">
      <c r="A41" s="54"/>
      <c r="B41" s="54"/>
      <c r="C41" s="50" t="s">
        <v>21</v>
      </c>
      <c r="D41" s="50"/>
      <c r="E41" s="50" t="s">
        <v>22</v>
      </c>
      <c r="F41" s="50"/>
      <c r="G41" s="50" t="s">
        <v>23</v>
      </c>
      <c r="H41" s="50" t="s">
        <v>21</v>
      </c>
      <c r="I41" s="50"/>
      <c r="J41" s="50" t="s">
        <v>22</v>
      </c>
      <c r="K41" s="50"/>
      <c r="L41" s="50" t="s">
        <v>23</v>
      </c>
      <c r="M41" s="51"/>
      <c r="N41" s="50" t="s">
        <v>21</v>
      </c>
      <c r="O41" s="50"/>
      <c r="P41" s="50" t="s">
        <v>22</v>
      </c>
      <c r="Q41" s="50"/>
      <c r="R41" s="50" t="s">
        <v>23</v>
      </c>
      <c r="S41" s="50" t="s">
        <v>21</v>
      </c>
      <c r="T41" s="50"/>
      <c r="U41" s="50" t="s">
        <v>22</v>
      </c>
      <c r="V41" s="50"/>
      <c r="W41" s="50" t="s">
        <v>23</v>
      </c>
      <c r="X41" s="51"/>
      <c r="Y41" s="50" t="s">
        <v>21</v>
      </c>
      <c r="Z41" s="50"/>
      <c r="AA41" s="50" t="s">
        <v>22</v>
      </c>
      <c r="AB41" s="50"/>
      <c r="AC41" s="50" t="s">
        <v>23</v>
      </c>
      <c r="AD41" s="50" t="s">
        <v>21</v>
      </c>
      <c r="AE41" s="50"/>
      <c r="AF41" s="50" t="s">
        <v>22</v>
      </c>
      <c r="AG41" s="50"/>
      <c r="AH41" s="50" t="s">
        <v>23</v>
      </c>
      <c r="AI41" s="51"/>
      <c r="AJ41" s="51"/>
      <c r="AK41" s="50" t="s">
        <v>21</v>
      </c>
      <c r="AL41" s="50"/>
      <c r="AM41" s="50" t="s">
        <v>22</v>
      </c>
      <c r="AN41" s="50"/>
      <c r="AO41" s="50" t="s">
        <v>23</v>
      </c>
      <c r="AP41" s="50" t="s">
        <v>21</v>
      </c>
      <c r="AQ41" s="50"/>
      <c r="AR41" s="50" t="s">
        <v>22</v>
      </c>
      <c r="AS41" s="50"/>
      <c r="AT41" s="50" t="s">
        <v>23</v>
      </c>
      <c r="AU41" s="51"/>
      <c r="AV41" s="51"/>
      <c r="AW41" s="50" t="s">
        <v>21</v>
      </c>
      <c r="AX41" s="50"/>
      <c r="AY41" s="50" t="s">
        <v>22</v>
      </c>
      <c r="AZ41" s="50"/>
      <c r="BA41" s="50" t="s">
        <v>23</v>
      </c>
      <c r="BB41" s="50" t="s">
        <v>21</v>
      </c>
      <c r="BC41" s="50"/>
      <c r="BD41" s="50" t="s">
        <v>22</v>
      </c>
      <c r="BE41" s="50"/>
      <c r="BF41" s="50" t="s">
        <v>23</v>
      </c>
      <c r="BG41" s="51"/>
      <c r="BH41" s="51"/>
      <c r="BI41" s="50" t="s">
        <v>21</v>
      </c>
      <c r="BJ41" s="50"/>
      <c r="BK41" s="50" t="s">
        <v>22</v>
      </c>
      <c r="BL41" s="50"/>
      <c r="BM41" s="50"/>
      <c r="BN41" s="50" t="s">
        <v>21</v>
      </c>
      <c r="BO41" s="50"/>
      <c r="BP41" s="50" t="s">
        <v>22</v>
      </c>
      <c r="BQ41" s="50"/>
      <c r="BR41" s="50"/>
      <c r="BS41" s="50" t="s">
        <v>24</v>
      </c>
      <c r="BT41" s="32"/>
      <c r="BU41" s="33"/>
      <c r="IO41" s="3"/>
      <c r="IP41" s="3"/>
      <c r="IQ41" s="3"/>
      <c r="IR41" s="3"/>
      <c r="IS41" s="3"/>
    </row>
    <row r="42" spans="1:253" s="2" customFormat="1" ht="12.75" customHeight="1" x14ac:dyDescent="0.2">
      <c r="A42" s="54"/>
      <c r="B42" s="54"/>
      <c r="C42" s="34" t="s">
        <v>24</v>
      </c>
      <c r="D42" s="34" t="s">
        <v>25</v>
      </c>
      <c r="E42" s="34" t="s">
        <v>24</v>
      </c>
      <c r="F42" s="34" t="s">
        <v>25</v>
      </c>
      <c r="G42" s="50"/>
      <c r="H42" s="34" t="s">
        <v>24</v>
      </c>
      <c r="I42" s="34" t="s">
        <v>25</v>
      </c>
      <c r="J42" s="34" t="s">
        <v>24</v>
      </c>
      <c r="K42" s="34" t="s">
        <v>25</v>
      </c>
      <c r="L42" s="50"/>
      <c r="M42" s="51"/>
      <c r="N42" s="34" t="s">
        <v>24</v>
      </c>
      <c r="O42" s="34" t="s">
        <v>25</v>
      </c>
      <c r="P42" s="34" t="s">
        <v>24</v>
      </c>
      <c r="Q42" s="34" t="s">
        <v>25</v>
      </c>
      <c r="R42" s="50"/>
      <c r="S42" s="34" t="s">
        <v>24</v>
      </c>
      <c r="T42" s="34" t="s">
        <v>25</v>
      </c>
      <c r="U42" s="34" t="s">
        <v>24</v>
      </c>
      <c r="V42" s="34" t="s">
        <v>25</v>
      </c>
      <c r="W42" s="50"/>
      <c r="X42" s="51"/>
      <c r="Y42" s="34" t="s">
        <v>24</v>
      </c>
      <c r="Z42" s="34" t="s">
        <v>25</v>
      </c>
      <c r="AA42" s="34" t="s">
        <v>24</v>
      </c>
      <c r="AB42" s="34" t="s">
        <v>25</v>
      </c>
      <c r="AC42" s="50"/>
      <c r="AD42" s="34" t="s">
        <v>24</v>
      </c>
      <c r="AE42" s="34" t="s">
        <v>25</v>
      </c>
      <c r="AF42" s="34" t="s">
        <v>24</v>
      </c>
      <c r="AG42" s="34" t="s">
        <v>25</v>
      </c>
      <c r="AH42" s="50"/>
      <c r="AI42" s="51"/>
      <c r="AJ42" s="51"/>
      <c r="AK42" s="34" t="s">
        <v>24</v>
      </c>
      <c r="AL42" s="34" t="s">
        <v>25</v>
      </c>
      <c r="AM42" s="34" t="s">
        <v>24</v>
      </c>
      <c r="AN42" s="34" t="s">
        <v>25</v>
      </c>
      <c r="AO42" s="50"/>
      <c r="AP42" s="34" t="s">
        <v>24</v>
      </c>
      <c r="AQ42" s="34" t="s">
        <v>25</v>
      </c>
      <c r="AR42" s="34" t="s">
        <v>24</v>
      </c>
      <c r="AS42" s="34" t="s">
        <v>25</v>
      </c>
      <c r="AT42" s="50"/>
      <c r="AU42" s="51"/>
      <c r="AV42" s="51"/>
      <c r="AW42" s="34" t="s">
        <v>24</v>
      </c>
      <c r="AX42" s="34" t="s">
        <v>25</v>
      </c>
      <c r="AY42" s="34" t="s">
        <v>24</v>
      </c>
      <c r="AZ42" s="34" t="s">
        <v>25</v>
      </c>
      <c r="BA42" s="50"/>
      <c r="BB42" s="34" t="s">
        <v>24</v>
      </c>
      <c r="BC42" s="34" t="s">
        <v>25</v>
      </c>
      <c r="BD42" s="34" t="s">
        <v>24</v>
      </c>
      <c r="BE42" s="34" t="s">
        <v>25</v>
      </c>
      <c r="BF42" s="50"/>
      <c r="BG42" s="51"/>
      <c r="BH42" s="51"/>
      <c r="BI42" s="34" t="s">
        <v>24</v>
      </c>
      <c r="BJ42" s="34" t="s">
        <v>25</v>
      </c>
      <c r="BK42" s="34" t="s">
        <v>24</v>
      </c>
      <c r="BL42" s="34" t="s">
        <v>25</v>
      </c>
      <c r="BM42" s="4" t="s">
        <v>23</v>
      </c>
      <c r="BN42" s="34" t="s">
        <v>24</v>
      </c>
      <c r="BO42" s="34" t="s">
        <v>25</v>
      </c>
      <c r="BP42" s="34" t="s">
        <v>24</v>
      </c>
      <c r="BQ42" s="34" t="s">
        <v>25</v>
      </c>
      <c r="BR42" s="4" t="s">
        <v>23</v>
      </c>
      <c r="BS42" s="50"/>
      <c r="BT42" s="34" t="s">
        <v>25</v>
      </c>
      <c r="BU42" s="4" t="s">
        <v>23</v>
      </c>
      <c r="IO42" s="3"/>
      <c r="IP42" s="3"/>
      <c r="IQ42" s="3"/>
      <c r="IR42" s="3"/>
      <c r="IS42" s="3"/>
    </row>
    <row r="43" spans="1:253" s="24" customFormat="1" ht="12.75" customHeight="1" x14ac:dyDescent="0.2">
      <c r="A43" s="14" t="s">
        <v>32</v>
      </c>
      <c r="B43" s="9">
        <f>B53-B33</f>
        <v>374218784.26999998</v>
      </c>
      <c r="C43" s="8"/>
      <c r="D43" s="8"/>
      <c r="E43" s="8">
        <f>E53-E33</f>
        <v>51223452.109999999</v>
      </c>
      <c r="F43" s="8">
        <f>F53-F33</f>
        <v>38552617.149999999</v>
      </c>
      <c r="G43" s="8">
        <f>F43-E43</f>
        <v>-12670834.960000001</v>
      </c>
      <c r="H43" s="10"/>
      <c r="I43" s="10"/>
      <c r="J43" s="8">
        <f>J53-J33</f>
        <v>43199046</v>
      </c>
      <c r="K43" s="8">
        <f>K53-K33</f>
        <v>24561312.270000003</v>
      </c>
      <c r="L43" s="8">
        <f>K43-J43</f>
        <v>-18637733.729999997</v>
      </c>
      <c r="M43" s="8">
        <f>F43+K43</f>
        <v>63113929.420000002</v>
      </c>
      <c r="N43" s="11"/>
      <c r="O43" s="11"/>
      <c r="P43" s="8">
        <f>P53-P33</f>
        <v>52257725.699999996</v>
      </c>
      <c r="Q43" s="8">
        <f>Q53-Q33</f>
        <v>29434565.400000002</v>
      </c>
      <c r="R43" s="8">
        <f>Q43-P43</f>
        <v>-22823160.299999993</v>
      </c>
      <c r="S43" s="10"/>
      <c r="T43" s="10"/>
      <c r="U43" s="8">
        <f>U53-U33</f>
        <v>54616357.929999992</v>
      </c>
      <c r="V43" s="8">
        <f>V53-V33</f>
        <v>30928745.720000003</v>
      </c>
      <c r="W43" s="8">
        <f>V43-U43</f>
        <v>-23687612.20999999</v>
      </c>
      <c r="X43" s="8">
        <f>Q43+V43</f>
        <v>60363311.120000005</v>
      </c>
      <c r="Y43" s="8"/>
      <c r="Z43" s="8"/>
      <c r="AA43" s="8">
        <f>AA53-AA33</f>
        <v>47422001.199999996</v>
      </c>
      <c r="AB43" s="8">
        <f>AB53-AB33</f>
        <v>32374909.210000001</v>
      </c>
      <c r="AC43" s="8">
        <f>AB43-AA43</f>
        <v>-15047091.989999995</v>
      </c>
      <c r="AD43" s="8"/>
      <c r="AE43" s="8"/>
      <c r="AF43" s="8">
        <f>AF53-AF33</f>
        <v>48571149.50999999</v>
      </c>
      <c r="AG43" s="8">
        <f>AG53-AG33</f>
        <v>28482929.820000004</v>
      </c>
      <c r="AH43" s="8">
        <f>AG43-AF43</f>
        <v>-20088219.689999986</v>
      </c>
      <c r="AI43" s="8">
        <f>AB43+AG43</f>
        <v>60857839.030000001</v>
      </c>
      <c r="AJ43" s="8" t="e">
        <f>#REF!+AI43</f>
        <v>#REF!</v>
      </c>
      <c r="AK43" s="10"/>
      <c r="AL43" s="10"/>
      <c r="AM43" s="8">
        <f>AM53-AM33</f>
        <v>52623303.639999986</v>
      </c>
      <c r="AN43" s="8">
        <f>AN53-AN33</f>
        <v>35665037.240000002</v>
      </c>
      <c r="AO43" s="8">
        <f>AN43-AM43</f>
        <v>-16958266.399999984</v>
      </c>
      <c r="AP43" s="10"/>
      <c r="AQ43" s="10"/>
      <c r="AR43" s="8">
        <f>AR53-AR33</f>
        <v>51888477.099999987</v>
      </c>
      <c r="AS43" s="8">
        <f>AS53-AS33</f>
        <v>31347063.720000003</v>
      </c>
      <c r="AT43" s="8">
        <f>AS43-AR43</f>
        <v>-20541413.379999984</v>
      </c>
      <c r="AU43" s="8">
        <f>AN43+AS43</f>
        <v>67012100.960000008</v>
      </c>
      <c r="AV43" s="10" t="e">
        <f>AJ43+AU43</f>
        <v>#REF!</v>
      </c>
      <c r="AW43" s="10"/>
      <c r="AX43" s="10"/>
      <c r="AY43" s="8">
        <f>AY53-AY33</f>
        <v>50167940.359999985</v>
      </c>
      <c r="AZ43" s="8">
        <f>AZ53-AZ33</f>
        <v>21754930.150000002</v>
      </c>
      <c r="BA43" s="8">
        <f>AZ43-AY43</f>
        <v>-28413010.209999982</v>
      </c>
      <c r="BB43" s="10"/>
      <c r="BC43" s="10"/>
      <c r="BD43" s="8">
        <f>BD53-BD33</f>
        <v>26802297.84</v>
      </c>
      <c r="BE43" s="8">
        <f>BE53-BE33</f>
        <v>27460304.889999997</v>
      </c>
      <c r="BF43" s="8">
        <f>BE43-BD43</f>
        <v>658007.04999999702</v>
      </c>
      <c r="BG43" s="8">
        <f>AY43+BD43</f>
        <v>76970238.199999988</v>
      </c>
      <c r="BH43" s="10" t="e">
        <f>AV43+BG43</f>
        <v>#REF!</v>
      </c>
      <c r="BI43" s="10"/>
      <c r="BJ43" s="10"/>
      <c r="BK43" s="8">
        <f>BK53-BK33</f>
        <v>27318719.759999998</v>
      </c>
      <c r="BL43" s="8"/>
      <c r="BM43" s="10"/>
      <c r="BN43" s="10"/>
      <c r="BO43" s="10"/>
      <c r="BP43" s="8">
        <f>BP53-BP33</f>
        <v>40499828.090000004</v>
      </c>
      <c r="BQ43" s="8"/>
      <c r="BR43" s="10"/>
      <c r="BS43" s="8">
        <f>SUM(M43+X43+AI43+AU43+BG43+BK43+BP43)</f>
        <v>396135966.58000004</v>
      </c>
      <c r="BT43" s="9" t="e">
        <f>#REF!+K43+Q43+V43+AB43+AG43+AN43+AS43+AZ43+BE43+BL43+BQ43</f>
        <v>#REF!</v>
      </c>
      <c r="BU43" s="11" t="e">
        <f>BS43-BT43</f>
        <v>#REF!</v>
      </c>
      <c r="IO43" s="3"/>
      <c r="IP43" s="3"/>
      <c r="IQ43" s="3"/>
      <c r="IR43" s="3"/>
      <c r="IS43" s="3"/>
    </row>
    <row r="44" spans="1:253" s="24" customFormat="1" ht="12.75" customHeight="1" x14ac:dyDescent="0.2">
      <c r="A44" s="14" t="s">
        <v>33</v>
      </c>
      <c r="B44" s="9">
        <f>B54-B34</f>
        <v>376528482.06</v>
      </c>
      <c r="C44" s="8"/>
      <c r="D44" s="8"/>
      <c r="E44" s="8">
        <f>E54-E34</f>
        <v>132456063.37999998</v>
      </c>
      <c r="F44" s="8">
        <f>F54-F34</f>
        <v>21077866.250000011</v>
      </c>
      <c r="G44" s="8">
        <f>C44-D44+E44-F44</f>
        <v>111378197.12999997</v>
      </c>
      <c r="H44" s="8"/>
      <c r="I44" s="8"/>
      <c r="J44" s="8">
        <f>J54-J34</f>
        <v>150740708.06</v>
      </c>
      <c r="K44" s="8">
        <f>K27-K34</f>
        <v>22161526.549999993</v>
      </c>
      <c r="L44" s="8">
        <f>SUM(H44-I44,J44-K44)</f>
        <v>128579181.51000001</v>
      </c>
      <c r="M44" s="8">
        <f>F44+K44</f>
        <v>43239392.800000004</v>
      </c>
      <c r="N44" s="8"/>
      <c r="O44" s="8"/>
      <c r="P44" s="8">
        <f>P54-P34</f>
        <v>154837924.84999996</v>
      </c>
      <c r="Q44" s="8">
        <f>Q27-Q34</f>
        <v>26072758.770000003</v>
      </c>
      <c r="R44" s="8">
        <f>SUM(N44-O44,P44-Q44)</f>
        <v>128765166.07999995</v>
      </c>
      <c r="S44" s="8"/>
      <c r="T44" s="8"/>
      <c r="U44" s="8">
        <f>U27-U34</f>
        <v>162836992.22999996</v>
      </c>
      <c r="V44" s="8">
        <f>V27-V34</f>
        <v>26111383.669999998</v>
      </c>
      <c r="W44" s="8">
        <f>SUM(S44-T44,U44-V44)</f>
        <v>136725608.55999997</v>
      </c>
      <c r="X44" s="8">
        <f>Q44+V44</f>
        <v>52184142.439999998</v>
      </c>
      <c r="Y44" s="8"/>
      <c r="Z44" s="8"/>
      <c r="AA44" s="8">
        <f>AA54-AA34</f>
        <v>164111716.63</v>
      </c>
      <c r="AB44" s="8">
        <f>AB54-AB34</f>
        <v>31469754.580000006</v>
      </c>
      <c r="AC44" s="8">
        <f>Y44-Z44+AA44-AB44</f>
        <v>132641962.04999998</v>
      </c>
      <c r="AD44" s="8"/>
      <c r="AE44" s="8"/>
      <c r="AF44" s="8">
        <f>AF54-AF34</f>
        <v>168258164.56999999</v>
      </c>
      <c r="AG44" s="8">
        <f>AG54-AG34</f>
        <v>28266444.379999995</v>
      </c>
      <c r="AH44" s="8">
        <f>AD44-AE44+AF44-AG44</f>
        <v>139991720.19</v>
      </c>
      <c r="AI44" s="8">
        <f>AB44+AG44</f>
        <v>59736198.960000001</v>
      </c>
      <c r="AJ44" s="8" t="e">
        <f>#REF!+AI44</f>
        <v>#REF!</v>
      </c>
      <c r="AK44" s="8"/>
      <c r="AL44" s="8"/>
      <c r="AM44" s="8">
        <f>AM54-AM34</f>
        <v>175840472.06999987</v>
      </c>
      <c r="AN44" s="8">
        <f>AN54-AN34</f>
        <v>30761365.150000002</v>
      </c>
      <c r="AO44" s="8">
        <f>AK44-AL44+AM44-AN44</f>
        <v>145079106.91999987</v>
      </c>
      <c r="AP44" s="8"/>
      <c r="AQ44" s="8"/>
      <c r="AR44" s="8">
        <f>AR54-AR34</f>
        <v>181026752.41999996</v>
      </c>
      <c r="AS44" s="8">
        <f>AS54-AS34</f>
        <v>30525898.110000007</v>
      </c>
      <c r="AT44" s="8">
        <f>AP44-AQ44+AR44-AS44</f>
        <v>150500854.30999994</v>
      </c>
      <c r="AU44" s="8">
        <f>AN44+AS44</f>
        <v>61287263.260000005</v>
      </c>
      <c r="AV44" s="9" t="e">
        <f>AJ44+AU44</f>
        <v>#REF!</v>
      </c>
      <c r="AW44" s="8"/>
      <c r="AX44" s="8"/>
      <c r="AY44" s="8">
        <f>AY54-AY34</f>
        <v>173724734.99000001</v>
      </c>
      <c r="AZ44" s="8">
        <f>AZ27-AZ34</f>
        <v>-18222600.960000001</v>
      </c>
      <c r="BA44" s="8">
        <f>AW44-AX44+AY44-AZ44</f>
        <v>191947335.95000002</v>
      </c>
      <c r="BB44" s="8"/>
      <c r="BC44" s="8"/>
      <c r="BD44" s="8">
        <f>BD54-BD34</f>
        <v>41752092.590000004</v>
      </c>
      <c r="BE44" s="8">
        <f>BE27-BE34</f>
        <v>-19363949.890000001</v>
      </c>
      <c r="BF44" s="8">
        <f>BB44-BC44+BD44-BE44</f>
        <v>61116042.480000004</v>
      </c>
      <c r="BG44" s="8">
        <f>AY44+BD44</f>
        <v>215476827.58000001</v>
      </c>
      <c r="BH44" s="9" t="e">
        <f>AV44+BG44</f>
        <v>#REF!</v>
      </c>
      <c r="BI44" s="8"/>
      <c r="BJ44" s="8"/>
      <c r="BK44" s="8">
        <f>BK54-BK34</f>
        <v>27401331.119999997</v>
      </c>
      <c r="BL44" s="8"/>
      <c r="BM44" s="8" t="e">
        <f>#REF!</f>
        <v>#REF!</v>
      </c>
      <c r="BN44" s="8"/>
      <c r="BO44" s="8"/>
      <c r="BP44" s="8">
        <f>BP54-BP34</f>
        <v>18857836.140000001</v>
      </c>
      <c r="BQ44" s="9"/>
      <c r="BR44" s="9" t="e">
        <f>#REF!</f>
        <v>#REF!</v>
      </c>
      <c r="BS44" s="8">
        <f>SUM(M44+X44+AI44+AU44+BG44+BI44+BK44+BN44+BP44)</f>
        <v>478182992.30000007</v>
      </c>
      <c r="BT44" s="8" t="e">
        <f>#REF!-#REF!</f>
        <v>#REF!</v>
      </c>
      <c r="BU44" s="8" t="e">
        <f>#REF!-#REF!</f>
        <v>#REF!</v>
      </c>
      <c r="IO44" s="3"/>
      <c r="IP44" s="3"/>
      <c r="IQ44" s="3"/>
      <c r="IR44" s="3"/>
      <c r="IS44" s="3"/>
    </row>
    <row r="45" spans="1:253" s="24" customFormat="1" ht="12.75" customHeight="1" x14ac:dyDescent="0.2">
      <c r="A45" s="14" t="s">
        <v>56</v>
      </c>
      <c r="B45" s="9">
        <f>B44-B43</f>
        <v>2309697.7900000215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9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9"/>
      <c r="BI45" s="8"/>
      <c r="BJ45" s="8"/>
      <c r="BK45" s="8"/>
      <c r="BL45" s="8"/>
      <c r="BM45" s="8"/>
      <c r="BN45" s="8"/>
      <c r="BO45" s="8"/>
      <c r="BP45" s="8"/>
      <c r="BQ45" s="9"/>
      <c r="BR45" s="9"/>
      <c r="BS45" s="8">
        <f>B45</f>
        <v>2309697.7900000215</v>
      </c>
      <c r="BT45" s="8"/>
      <c r="BU45" s="8"/>
      <c r="IO45" s="3"/>
      <c r="IP45" s="3"/>
      <c r="IQ45" s="3"/>
      <c r="IR45" s="3"/>
      <c r="IS45" s="3"/>
    </row>
    <row r="46" spans="1:253" s="24" customFormat="1" ht="17.25" customHeight="1" x14ac:dyDescent="0.2">
      <c r="A46" s="14" t="s">
        <v>53</v>
      </c>
      <c r="B46" s="9"/>
      <c r="C46" s="8"/>
      <c r="D46" s="8"/>
      <c r="E46" s="8">
        <f>E43-E44</f>
        <v>-81232611.269999981</v>
      </c>
      <c r="F46" s="8">
        <f>F43-F44</f>
        <v>17474750.899999987</v>
      </c>
      <c r="G46" s="8"/>
      <c r="H46" s="8"/>
      <c r="I46" s="8"/>
      <c r="J46" s="8">
        <f>J43-J44</f>
        <v>-107541662.06</v>
      </c>
      <c r="K46" s="8">
        <f>K43-K44</f>
        <v>2399785.72000001</v>
      </c>
      <c r="L46" s="8"/>
      <c r="M46" s="8">
        <f>M43-M44</f>
        <v>19874536.619999997</v>
      </c>
      <c r="N46" s="8"/>
      <c r="O46" s="8"/>
      <c r="P46" s="8">
        <f>P43-P44</f>
        <v>-102580199.14999998</v>
      </c>
      <c r="Q46" s="8">
        <f>Q43-Q44</f>
        <v>3361806.629999999</v>
      </c>
      <c r="R46" s="8"/>
      <c r="S46" s="8"/>
      <c r="T46" s="8"/>
      <c r="U46" s="8">
        <f>U43-U44</f>
        <v>-108220634.29999997</v>
      </c>
      <c r="V46" s="8">
        <f>V43-V44</f>
        <v>4817362.0500000045</v>
      </c>
      <c r="W46" s="8"/>
      <c r="X46" s="8">
        <f>X43-X44</f>
        <v>8179168.6800000072</v>
      </c>
      <c r="Y46" s="8"/>
      <c r="Z46" s="8"/>
      <c r="AA46" s="8">
        <f>AA43-AA44</f>
        <v>-116689715.43000001</v>
      </c>
      <c r="AB46" s="8">
        <f>AB43-AB44</f>
        <v>905154.62999999523</v>
      </c>
      <c r="AC46" s="8"/>
      <c r="AD46" s="8"/>
      <c r="AE46" s="8"/>
      <c r="AF46" s="8">
        <f>AF43-AF44</f>
        <v>-119687015.06</v>
      </c>
      <c r="AG46" s="8">
        <f>AG43-AG44</f>
        <v>216485.44000000879</v>
      </c>
      <c r="AH46" s="8"/>
      <c r="AI46" s="8">
        <f>AI43-AI44</f>
        <v>1121640.0700000003</v>
      </c>
      <c r="AJ46" s="8"/>
      <c r="AK46" s="8"/>
      <c r="AL46" s="8"/>
      <c r="AM46" s="8">
        <f>AM43-AM44</f>
        <v>-123217168.42999989</v>
      </c>
      <c r="AN46" s="8">
        <f>AN43-AN44</f>
        <v>4903672.09</v>
      </c>
      <c r="AO46" s="8"/>
      <c r="AP46" s="8"/>
      <c r="AQ46" s="8"/>
      <c r="AR46" s="8">
        <f>AR43-AR44</f>
        <v>-129138275.31999996</v>
      </c>
      <c r="AS46" s="8">
        <f>AS43-AS44</f>
        <v>821165.60999999568</v>
      </c>
      <c r="AT46" s="8"/>
      <c r="AU46" s="8">
        <f>AU43-AU44</f>
        <v>5724837.700000003</v>
      </c>
      <c r="AV46" s="9"/>
      <c r="AW46" s="8"/>
      <c r="AX46" s="8"/>
      <c r="AY46" s="8">
        <f>AY43-AY44</f>
        <v>-123556794.63000003</v>
      </c>
      <c r="AZ46" s="8">
        <f>AZ55-AZ36</f>
        <v>39977531.109999999</v>
      </c>
      <c r="BA46" s="8"/>
      <c r="BB46" s="8"/>
      <c r="BC46" s="8"/>
      <c r="BD46" s="8">
        <f>BD43-BD44</f>
        <v>-14949794.750000004</v>
      </c>
      <c r="BE46" s="8">
        <f>BE43-BE44</f>
        <v>46824254.780000001</v>
      </c>
      <c r="BF46" s="8"/>
      <c r="BG46" s="8">
        <f>BG43-BG44</f>
        <v>-138506589.38000003</v>
      </c>
      <c r="BH46" s="9"/>
      <c r="BI46" s="8"/>
      <c r="BJ46" s="8"/>
      <c r="BK46" s="8">
        <f>BK43-BK44</f>
        <v>-82611.359999999404</v>
      </c>
      <c r="BL46" s="8"/>
      <c r="BM46" s="8"/>
      <c r="BN46" s="8"/>
      <c r="BO46" s="8"/>
      <c r="BP46" s="8">
        <f>BP43-BP44</f>
        <v>21641991.950000003</v>
      </c>
      <c r="BQ46" s="9"/>
      <c r="BR46" s="9"/>
      <c r="BS46" s="8">
        <f>BS43-BS44</f>
        <v>-82047025.720000029</v>
      </c>
      <c r="BT46" s="8"/>
      <c r="BU46" s="8"/>
      <c r="IO46" s="3"/>
      <c r="IP46" s="3"/>
      <c r="IQ46" s="3"/>
      <c r="IR46" s="3"/>
      <c r="IS46" s="3"/>
    </row>
    <row r="47" spans="1:253" s="24" customFormat="1" ht="12.75" customHeight="1" x14ac:dyDescent="0.2">
      <c r="A47" s="14" t="s">
        <v>54</v>
      </c>
      <c r="B47" s="9">
        <f>B43+B48-B44+B45</f>
        <v>79463008.75</v>
      </c>
      <c r="C47" s="8"/>
      <c r="D47" s="8"/>
      <c r="E47" s="8">
        <f>E46+B47</f>
        <v>-1769602.5199999809</v>
      </c>
      <c r="F47" s="8">
        <f>B47+F46</f>
        <v>96937759.649999991</v>
      </c>
      <c r="G47" s="8"/>
      <c r="H47" s="8"/>
      <c r="I47" s="8"/>
      <c r="J47" s="8">
        <f>J46+E47</f>
        <v>-109311264.57999998</v>
      </c>
      <c r="K47" s="8">
        <f>K46+F47</f>
        <v>99337545.370000005</v>
      </c>
      <c r="L47" s="8"/>
      <c r="M47" s="8">
        <f>M46+B47</f>
        <v>99337545.370000005</v>
      </c>
      <c r="N47" s="10"/>
      <c r="O47" s="10"/>
      <c r="P47" s="8">
        <f>P46+K47</f>
        <v>-3242653.7799999714</v>
      </c>
      <c r="Q47" s="8">
        <f>Q46+K47</f>
        <v>102699352</v>
      </c>
      <c r="R47" s="8"/>
      <c r="S47" s="8"/>
      <c r="T47" s="8"/>
      <c r="U47" s="8">
        <f>U46+P47</f>
        <v>-111463288.07999994</v>
      </c>
      <c r="V47" s="8">
        <f>V46+Q47</f>
        <v>107516714.05000001</v>
      </c>
      <c r="W47" s="8"/>
      <c r="X47" s="8">
        <f>X46+M47</f>
        <v>107516714.05000001</v>
      </c>
      <c r="Y47" s="8"/>
      <c r="Z47" s="8"/>
      <c r="AA47" s="8">
        <f>AA46+V47</f>
        <v>-9173001.3799999952</v>
      </c>
      <c r="AB47" s="8">
        <f>AB46+V47</f>
        <v>108421868.68000001</v>
      </c>
      <c r="AC47" s="8"/>
      <c r="AD47" s="8"/>
      <c r="AE47" s="8"/>
      <c r="AF47" s="8">
        <f>AF46+AB47</f>
        <v>-11265146.379999995</v>
      </c>
      <c r="AG47" s="8">
        <f>AG46+AB47</f>
        <v>108638354.12000002</v>
      </c>
      <c r="AH47" s="8"/>
      <c r="AI47" s="8">
        <f>AI46+X47</f>
        <v>108638354.12</v>
      </c>
      <c r="AJ47" s="8" t="e">
        <f>AJ43+AJ48+AJ44-#REF!-#REF!</f>
        <v>#REF!</v>
      </c>
      <c r="AK47" s="8"/>
      <c r="AL47" s="8"/>
      <c r="AM47" s="8">
        <f>AM46+AG47</f>
        <v>-14578814.309999868</v>
      </c>
      <c r="AN47" s="8">
        <f>AN46+AG47</f>
        <v>113542026.21000002</v>
      </c>
      <c r="AO47" s="8"/>
      <c r="AP47" s="8"/>
      <c r="AQ47" s="8"/>
      <c r="AR47" s="8">
        <f>AR46+AM47</f>
        <v>-143717089.62999982</v>
      </c>
      <c r="AS47" s="8">
        <f>AS46+AN47</f>
        <v>114363191.82000002</v>
      </c>
      <c r="AT47" s="8"/>
      <c r="AU47" s="8">
        <f>AU46+AI47</f>
        <v>114363191.82000001</v>
      </c>
      <c r="AV47" s="8" t="e">
        <f>AV43+AV48+AV44-#REF!-#REF!</f>
        <v>#REF!</v>
      </c>
      <c r="AW47" s="8"/>
      <c r="AX47" s="8"/>
      <c r="AY47" s="8">
        <f>AY46+AS47</f>
        <v>-9193602.8100000024</v>
      </c>
      <c r="AZ47" s="8">
        <f>AZ46+AS47</f>
        <v>154340722.93000001</v>
      </c>
      <c r="BA47" s="8"/>
      <c r="BB47" s="8"/>
      <c r="BC47" s="8"/>
      <c r="BD47" s="8">
        <f>BD46+AY47</f>
        <v>-24143397.560000006</v>
      </c>
      <c r="BE47" s="8">
        <f>BE46+AZ47</f>
        <v>201164977.71000001</v>
      </c>
      <c r="BF47" s="8"/>
      <c r="BG47" s="8">
        <f>BG46+AU47</f>
        <v>-24143397.560000017</v>
      </c>
      <c r="BH47" s="8" t="e">
        <f>BH43+BH48+BH44-#REF!-#REF!</f>
        <v>#REF!</v>
      </c>
      <c r="BI47" s="8"/>
      <c r="BJ47" s="8"/>
      <c r="BK47" s="8">
        <f>BK46+BG47</f>
        <v>-24226008.920000017</v>
      </c>
      <c r="BL47" s="8">
        <f>BL43-SUM(BL44:BL44)</f>
        <v>0</v>
      </c>
      <c r="BM47" s="8" t="e">
        <f>BM43-SUM(BM44:BM44)</f>
        <v>#REF!</v>
      </c>
      <c r="BN47" s="8"/>
      <c r="BO47" s="8"/>
      <c r="BP47" s="8">
        <f>BP46+BK47</f>
        <v>-2584016.9700000137</v>
      </c>
      <c r="BQ47" s="8">
        <f>BQ43-SUM(BQ44:BQ44)</f>
        <v>0</v>
      </c>
      <c r="BR47" s="8" t="e">
        <f>BR43-SUM(BR44:BR44)</f>
        <v>#REF!</v>
      </c>
      <c r="BS47" s="8">
        <f>BG47+BK46+BP46</f>
        <v>-2584016.9700000137</v>
      </c>
      <c r="BT47" s="8" t="e">
        <f>BT43-SUM(BU44:BU44)</f>
        <v>#REF!</v>
      </c>
      <c r="BU47" s="8" t="e">
        <f>BU43-SUM(#REF!)</f>
        <v>#REF!</v>
      </c>
      <c r="IO47" s="3"/>
      <c r="IP47" s="3"/>
      <c r="IQ47" s="3"/>
      <c r="IR47" s="3"/>
      <c r="IS47" s="3"/>
    </row>
    <row r="48" spans="1:253" s="24" customFormat="1" ht="12.75" customHeight="1" x14ac:dyDescent="0.2">
      <c r="A48" s="48" t="s">
        <v>35</v>
      </c>
      <c r="B48" s="45">
        <f>B57-B38</f>
        <v>79463008.75</v>
      </c>
      <c r="C48" s="43"/>
      <c r="D48" s="43"/>
      <c r="E48" s="43"/>
      <c r="F48" s="43">
        <f>F57-F38</f>
        <v>56784721.870000005</v>
      </c>
      <c r="G48" s="43"/>
      <c r="H48" s="43"/>
      <c r="I48" s="43"/>
      <c r="J48" s="43">
        <f>G48</f>
        <v>0</v>
      </c>
      <c r="K48" s="43">
        <f>K57-K38</f>
        <v>4482550.99</v>
      </c>
      <c r="L48" s="43"/>
      <c r="M48" s="43">
        <f>F48+K48</f>
        <v>61267272.860000007</v>
      </c>
      <c r="N48" s="49"/>
      <c r="O48" s="49"/>
      <c r="P48" s="43">
        <f>L48</f>
        <v>0</v>
      </c>
      <c r="Q48" s="43">
        <f>Q57-Q38</f>
        <v>5945967.5300000003</v>
      </c>
      <c r="R48" s="43"/>
      <c r="S48" s="43"/>
      <c r="T48" s="43"/>
      <c r="U48" s="43"/>
      <c r="V48" s="43">
        <f>V57-V38</f>
        <v>4010088.2199999997</v>
      </c>
      <c r="W48" s="43"/>
      <c r="X48" s="43">
        <f>Q48+V48</f>
        <v>9956055.75</v>
      </c>
      <c r="Y48" s="43"/>
      <c r="Z48" s="43"/>
      <c r="AA48" s="43"/>
      <c r="AB48" s="43">
        <f>AB57-AB38</f>
        <v>1291776.25</v>
      </c>
      <c r="AC48" s="43"/>
      <c r="AD48" s="43"/>
      <c r="AE48" s="43"/>
      <c r="AF48" s="43"/>
      <c r="AG48" s="43">
        <f>AG57-AG38</f>
        <v>1983959.6900000004</v>
      </c>
      <c r="AH48" s="43"/>
      <c r="AI48" s="43">
        <f>AI57-AI38</f>
        <v>3275735.9399999995</v>
      </c>
      <c r="AJ48" s="43" t="e">
        <f>#REF!+AI48</f>
        <v>#REF!</v>
      </c>
      <c r="AK48" s="43"/>
      <c r="AL48" s="43"/>
      <c r="AM48" s="43">
        <f>AH48</f>
        <v>0</v>
      </c>
      <c r="AN48" s="43">
        <f>AN57-AN38</f>
        <v>3570821.6</v>
      </c>
      <c r="AO48" s="43"/>
      <c r="AP48" s="43"/>
      <c r="AQ48" s="43"/>
      <c r="AR48" s="43">
        <f>AM48</f>
        <v>0</v>
      </c>
      <c r="AS48" s="43">
        <f>AS57-AS38</f>
        <v>958933.7</v>
      </c>
      <c r="AT48" s="43"/>
      <c r="AU48" s="43">
        <f>AU57-AU38</f>
        <v>4529755.3</v>
      </c>
      <c r="AV48" s="43" t="e">
        <f>AJ48+AU48</f>
        <v>#REF!</v>
      </c>
      <c r="AW48" s="43"/>
      <c r="AX48" s="43"/>
      <c r="AY48" s="43">
        <f>AY57-AY38</f>
        <v>0</v>
      </c>
      <c r="AZ48" s="43">
        <f>AZ57</f>
        <v>4111374.61</v>
      </c>
      <c r="BA48" s="43">
        <f>AT48-AZ48</f>
        <v>-4111374.61</v>
      </c>
      <c r="BB48" s="43"/>
      <c r="BC48" s="43"/>
      <c r="BD48" s="43"/>
      <c r="BE48" s="43">
        <f>BE57</f>
        <v>2478039.2400000002</v>
      </c>
      <c r="BF48" s="43">
        <f>BD48-BE48</f>
        <v>-2478039.2400000002</v>
      </c>
      <c r="BG48" s="43"/>
      <c r="BH48" s="43" t="e">
        <f>AV48+BG48</f>
        <v>#REF!</v>
      </c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>
        <f>B48</f>
        <v>79463008.75</v>
      </c>
      <c r="BT48" s="9"/>
      <c r="BU48" s="11"/>
      <c r="IO48" s="3"/>
      <c r="IP48" s="3"/>
      <c r="IQ48" s="3"/>
      <c r="IR48" s="3"/>
      <c r="IS48" s="3"/>
    </row>
    <row r="49" spans="1:253" ht="12" customHeight="1" x14ac:dyDescent="0.2">
      <c r="G49" s="24"/>
      <c r="H49" s="20"/>
      <c r="K49" s="24"/>
      <c r="O49" s="19"/>
      <c r="P49" s="24"/>
      <c r="Q49" s="16"/>
      <c r="R49" s="20"/>
      <c r="S49" s="20"/>
      <c r="V49" s="24"/>
      <c r="W49" s="24"/>
      <c r="X49" s="24"/>
      <c r="AA49" s="16"/>
      <c r="AC49" s="20"/>
      <c r="AD49" s="20"/>
      <c r="AG49" s="24"/>
      <c r="AI49" s="20"/>
      <c r="AK49" s="20"/>
      <c r="AM49" s="16"/>
      <c r="AN49" s="24"/>
      <c r="AS49" s="24"/>
      <c r="AU49" s="20"/>
      <c r="AW49" s="20"/>
      <c r="AY49" s="16"/>
      <c r="AZ49" s="24"/>
      <c r="BA49" s="24"/>
      <c r="BB49" s="24"/>
      <c r="BF49" s="20"/>
      <c r="BG49" s="20"/>
      <c r="BI49" s="20"/>
      <c r="BK49" s="16"/>
      <c r="BL49" s="24"/>
      <c r="BM49" s="24"/>
      <c r="BN49" s="24"/>
      <c r="BS49" s="16"/>
      <c r="BU49" s="19"/>
      <c r="BV49" s="2"/>
      <c r="IO49" s="3"/>
      <c r="IP49" s="3"/>
      <c r="IQ49" s="3"/>
      <c r="IR49" s="3"/>
    </row>
    <row r="50" spans="1:253" s="2" customFormat="1" ht="12.75" customHeight="1" x14ac:dyDescent="0.2">
      <c r="A50" s="54" t="s">
        <v>36</v>
      </c>
      <c r="B50" s="54"/>
      <c r="C50" s="50" t="s">
        <v>2</v>
      </c>
      <c r="D50" s="50"/>
      <c r="E50" s="50"/>
      <c r="F50" s="50"/>
      <c r="G50" s="34"/>
      <c r="H50" s="50" t="s">
        <v>3</v>
      </c>
      <c r="I50" s="50"/>
      <c r="J50" s="50"/>
      <c r="K50" s="50"/>
      <c r="L50" s="50"/>
      <c r="M50" s="51" t="s">
        <v>4</v>
      </c>
      <c r="N50" s="50" t="s">
        <v>5</v>
      </c>
      <c r="O50" s="50"/>
      <c r="P50" s="50"/>
      <c r="Q50" s="50"/>
      <c r="R50" s="50"/>
      <c r="S50" s="50" t="s">
        <v>6</v>
      </c>
      <c r="T50" s="50"/>
      <c r="U50" s="50"/>
      <c r="V50" s="50"/>
      <c r="W50" s="50"/>
      <c r="X50" s="51" t="s">
        <v>7</v>
      </c>
      <c r="Y50" s="50" t="s">
        <v>9</v>
      </c>
      <c r="Z50" s="50"/>
      <c r="AA50" s="50"/>
      <c r="AB50" s="50"/>
      <c r="AC50" s="50"/>
      <c r="AD50" s="50" t="s">
        <v>10</v>
      </c>
      <c r="AE50" s="50"/>
      <c r="AF50" s="50"/>
      <c r="AG50" s="50"/>
      <c r="AH50" s="50"/>
      <c r="AI50" s="51" t="s">
        <v>11</v>
      </c>
      <c r="AJ50" s="51" t="s">
        <v>8</v>
      </c>
      <c r="AK50" s="50" t="s">
        <v>12</v>
      </c>
      <c r="AL50" s="50"/>
      <c r="AM50" s="50"/>
      <c r="AN50" s="50"/>
      <c r="AO50" s="50"/>
      <c r="AP50" s="50" t="s">
        <v>13</v>
      </c>
      <c r="AQ50" s="50"/>
      <c r="AR50" s="50"/>
      <c r="AS50" s="50"/>
      <c r="AT50" s="50"/>
      <c r="AU50" s="51" t="s">
        <v>14</v>
      </c>
      <c r="AV50" s="51" t="s">
        <v>8</v>
      </c>
      <c r="AW50" s="50" t="s">
        <v>15</v>
      </c>
      <c r="AX50" s="50"/>
      <c r="AY50" s="50"/>
      <c r="AZ50" s="50"/>
      <c r="BA50" s="50"/>
      <c r="BB50" s="50" t="s">
        <v>16</v>
      </c>
      <c r="BC50" s="50"/>
      <c r="BD50" s="50"/>
      <c r="BE50" s="50"/>
      <c r="BF50" s="50"/>
      <c r="BG50" s="51" t="s">
        <v>17</v>
      </c>
      <c r="BH50" s="51" t="s">
        <v>8</v>
      </c>
      <c r="BI50" s="50" t="s">
        <v>18</v>
      </c>
      <c r="BJ50" s="50"/>
      <c r="BK50" s="50"/>
      <c r="BL50" s="50"/>
      <c r="BM50" s="50"/>
      <c r="BN50" s="50" t="s">
        <v>19</v>
      </c>
      <c r="BO50" s="50"/>
      <c r="BP50" s="50"/>
      <c r="BQ50" s="50"/>
      <c r="BR50" s="50"/>
      <c r="BS50" s="36" t="s">
        <v>20</v>
      </c>
      <c r="BT50" s="25"/>
      <c r="BU50" s="35"/>
      <c r="IO50" s="3"/>
      <c r="IP50" s="3"/>
      <c r="IQ50" s="3"/>
      <c r="IR50" s="3"/>
      <c r="IS50" s="3"/>
    </row>
    <row r="51" spans="1:253" s="2" customFormat="1" ht="12.75" customHeight="1" x14ac:dyDescent="0.2">
      <c r="A51" s="54"/>
      <c r="B51" s="54"/>
      <c r="C51" s="50" t="s">
        <v>21</v>
      </c>
      <c r="D51" s="50"/>
      <c r="E51" s="50" t="s">
        <v>22</v>
      </c>
      <c r="F51" s="50"/>
      <c r="G51" s="50" t="s">
        <v>23</v>
      </c>
      <c r="H51" s="50" t="s">
        <v>21</v>
      </c>
      <c r="I51" s="50"/>
      <c r="J51" s="50" t="s">
        <v>22</v>
      </c>
      <c r="K51" s="50"/>
      <c r="L51" s="50" t="s">
        <v>23</v>
      </c>
      <c r="M51" s="51"/>
      <c r="N51" s="50" t="s">
        <v>21</v>
      </c>
      <c r="O51" s="50"/>
      <c r="P51" s="50" t="s">
        <v>22</v>
      </c>
      <c r="Q51" s="50"/>
      <c r="R51" s="50" t="s">
        <v>23</v>
      </c>
      <c r="S51" s="50" t="s">
        <v>21</v>
      </c>
      <c r="T51" s="50"/>
      <c r="U51" s="50" t="s">
        <v>22</v>
      </c>
      <c r="V51" s="50"/>
      <c r="W51" s="50" t="s">
        <v>23</v>
      </c>
      <c r="X51" s="51"/>
      <c r="Y51" s="50" t="s">
        <v>21</v>
      </c>
      <c r="Z51" s="50"/>
      <c r="AA51" s="50" t="s">
        <v>22</v>
      </c>
      <c r="AB51" s="50"/>
      <c r="AC51" s="50" t="s">
        <v>23</v>
      </c>
      <c r="AD51" s="50" t="s">
        <v>21</v>
      </c>
      <c r="AE51" s="50"/>
      <c r="AF51" s="50" t="s">
        <v>22</v>
      </c>
      <c r="AG51" s="50"/>
      <c r="AH51" s="50" t="s">
        <v>23</v>
      </c>
      <c r="AI51" s="51"/>
      <c r="AJ51" s="51"/>
      <c r="AK51" s="50" t="s">
        <v>21</v>
      </c>
      <c r="AL51" s="50"/>
      <c r="AM51" s="50" t="s">
        <v>22</v>
      </c>
      <c r="AN51" s="50"/>
      <c r="AO51" s="50" t="s">
        <v>23</v>
      </c>
      <c r="AP51" s="50" t="s">
        <v>21</v>
      </c>
      <c r="AQ51" s="50"/>
      <c r="AR51" s="50" t="s">
        <v>22</v>
      </c>
      <c r="AS51" s="50"/>
      <c r="AT51" s="50" t="s">
        <v>23</v>
      </c>
      <c r="AU51" s="51"/>
      <c r="AV51" s="51"/>
      <c r="AW51" s="50" t="s">
        <v>21</v>
      </c>
      <c r="AX51" s="50"/>
      <c r="AY51" s="50" t="s">
        <v>22</v>
      </c>
      <c r="AZ51" s="50"/>
      <c r="BA51" s="50" t="s">
        <v>23</v>
      </c>
      <c r="BB51" s="50" t="s">
        <v>21</v>
      </c>
      <c r="BC51" s="50"/>
      <c r="BD51" s="50" t="s">
        <v>22</v>
      </c>
      <c r="BE51" s="50"/>
      <c r="BF51" s="50" t="s">
        <v>23</v>
      </c>
      <c r="BG51" s="51"/>
      <c r="BH51" s="51"/>
      <c r="BI51" s="50" t="s">
        <v>21</v>
      </c>
      <c r="BJ51" s="50"/>
      <c r="BK51" s="50" t="s">
        <v>22</v>
      </c>
      <c r="BL51" s="50"/>
      <c r="BM51" s="50"/>
      <c r="BN51" s="50" t="s">
        <v>21</v>
      </c>
      <c r="BO51" s="50"/>
      <c r="BP51" s="50" t="s">
        <v>22</v>
      </c>
      <c r="BQ51" s="50"/>
      <c r="BR51" s="50"/>
      <c r="BS51" s="50" t="s">
        <v>41</v>
      </c>
      <c r="BT51" s="25"/>
      <c r="BU51" s="35"/>
      <c r="IO51" s="3"/>
      <c r="IP51" s="3"/>
      <c r="IQ51" s="3"/>
      <c r="IR51" s="3"/>
      <c r="IS51" s="3"/>
    </row>
    <row r="52" spans="1:253" s="2" customFormat="1" ht="17.100000000000001" customHeight="1" x14ac:dyDescent="0.2">
      <c r="A52" s="54"/>
      <c r="B52" s="54"/>
      <c r="C52" s="34" t="s">
        <v>24</v>
      </c>
      <c r="D52" s="34" t="s">
        <v>25</v>
      </c>
      <c r="E52" s="34" t="s">
        <v>24</v>
      </c>
      <c r="F52" s="34" t="s">
        <v>25</v>
      </c>
      <c r="G52" s="50"/>
      <c r="H52" s="34" t="s">
        <v>24</v>
      </c>
      <c r="I52" s="34" t="s">
        <v>25</v>
      </c>
      <c r="J52" s="34" t="s">
        <v>24</v>
      </c>
      <c r="K52" s="34" t="s">
        <v>25</v>
      </c>
      <c r="L52" s="50"/>
      <c r="M52" s="51" t="s">
        <v>8</v>
      </c>
      <c r="N52" s="34" t="s">
        <v>24</v>
      </c>
      <c r="O52" s="34" t="s">
        <v>25</v>
      </c>
      <c r="P52" s="34" t="s">
        <v>24</v>
      </c>
      <c r="Q52" s="34" t="s">
        <v>25</v>
      </c>
      <c r="R52" s="50"/>
      <c r="S52" s="34" t="s">
        <v>24</v>
      </c>
      <c r="T52" s="34" t="s">
        <v>25</v>
      </c>
      <c r="U52" s="34" t="s">
        <v>24</v>
      </c>
      <c r="V52" s="34" t="s">
        <v>25</v>
      </c>
      <c r="W52" s="50"/>
      <c r="X52" s="51"/>
      <c r="Y52" s="34" t="s">
        <v>24</v>
      </c>
      <c r="Z52" s="34" t="s">
        <v>25</v>
      </c>
      <c r="AA52" s="34" t="s">
        <v>24</v>
      </c>
      <c r="AB52" s="34" t="s">
        <v>25</v>
      </c>
      <c r="AC52" s="50"/>
      <c r="AD52" s="34" t="s">
        <v>24</v>
      </c>
      <c r="AE52" s="34" t="s">
        <v>25</v>
      </c>
      <c r="AF52" s="34" t="s">
        <v>24</v>
      </c>
      <c r="AG52" s="34" t="s">
        <v>25</v>
      </c>
      <c r="AH52" s="50"/>
      <c r="AI52" s="51"/>
      <c r="AJ52" s="51"/>
      <c r="AK52" s="34" t="s">
        <v>24</v>
      </c>
      <c r="AL52" s="34" t="s">
        <v>25</v>
      </c>
      <c r="AM52" s="34" t="s">
        <v>24</v>
      </c>
      <c r="AN52" s="34" t="s">
        <v>25</v>
      </c>
      <c r="AO52" s="50"/>
      <c r="AP52" s="34" t="s">
        <v>24</v>
      </c>
      <c r="AQ52" s="34" t="s">
        <v>25</v>
      </c>
      <c r="AR52" s="34" t="s">
        <v>24</v>
      </c>
      <c r="AS52" s="34" t="s">
        <v>25</v>
      </c>
      <c r="AT52" s="50"/>
      <c r="AU52" s="51"/>
      <c r="AV52" s="51"/>
      <c r="AW52" s="34" t="s">
        <v>24</v>
      </c>
      <c r="AX52" s="34" t="s">
        <v>25</v>
      </c>
      <c r="AY52" s="34" t="s">
        <v>24</v>
      </c>
      <c r="AZ52" s="34" t="s">
        <v>25</v>
      </c>
      <c r="BA52" s="50"/>
      <c r="BB52" s="34" t="s">
        <v>24</v>
      </c>
      <c r="BC52" s="34" t="s">
        <v>25</v>
      </c>
      <c r="BD52" s="34" t="s">
        <v>24</v>
      </c>
      <c r="BE52" s="34" t="s">
        <v>25</v>
      </c>
      <c r="BF52" s="50"/>
      <c r="BG52" s="51"/>
      <c r="BH52" s="51"/>
      <c r="BI52" s="34" t="s">
        <v>24</v>
      </c>
      <c r="BJ52" s="34" t="s">
        <v>25</v>
      </c>
      <c r="BK52" s="34" t="s">
        <v>24</v>
      </c>
      <c r="BL52" s="34" t="s">
        <v>25</v>
      </c>
      <c r="BM52" s="4" t="s">
        <v>23</v>
      </c>
      <c r="BN52" s="34" t="s">
        <v>24</v>
      </c>
      <c r="BO52" s="34" t="s">
        <v>25</v>
      </c>
      <c r="BP52" s="34" t="s">
        <v>24</v>
      </c>
      <c r="BQ52" s="34" t="s">
        <v>25</v>
      </c>
      <c r="BR52" s="4" t="s">
        <v>23</v>
      </c>
      <c r="BS52" s="50"/>
      <c r="BT52" s="25" t="s">
        <v>25</v>
      </c>
      <c r="BU52" s="22" t="s">
        <v>23</v>
      </c>
      <c r="IO52" s="3"/>
      <c r="IP52" s="3"/>
      <c r="IQ52" s="3"/>
      <c r="IR52" s="3"/>
      <c r="IS52" s="3"/>
    </row>
    <row r="53" spans="1:253" s="24" customFormat="1" ht="17.100000000000001" customHeight="1" x14ac:dyDescent="0.2">
      <c r="A53" s="14" t="s">
        <v>32</v>
      </c>
      <c r="B53" s="9">
        <v>658786000</v>
      </c>
      <c r="C53" s="9" t="s">
        <v>27</v>
      </c>
      <c r="D53" s="9"/>
      <c r="E53" s="8">
        <f>86340492.35+2178338.9</f>
        <v>88518831.25</v>
      </c>
      <c r="F53" s="8">
        <v>86352473.280000001</v>
      </c>
      <c r="G53" s="8">
        <f>F53-E53</f>
        <v>-2166357.9699999988</v>
      </c>
      <c r="H53" s="8" t="s">
        <v>27</v>
      </c>
      <c r="I53" s="8"/>
      <c r="J53" s="8">
        <f>52003249.3-G53+988128.6</f>
        <v>55157735.869999997</v>
      </c>
      <c r="K53" s="8">
        <v>48951515.340000004</v>
      </c>
      <c r="L53" s="8">
        <f>K53-J53</f>
        <v>-6206220.5299999937</v>
      </c>
      <c r="M53" s="9">
        <f>F53+K53</f>
        <v>135303988.62</v>
      </c>
      <c r="N53" s="11" t="s">
        <v>27</v>
      </c>
      <c r="O53" s="11"/>
      <c r="P53" s="8">
        <f>55031029.72-L53+2360000</f>
        <v>63597250.249999993</v>
      </c>
      <c r="Q53" s="8">
        <v>54850720.450000003</v>
      </c>
      <c r="R53" s="8">
        <f>Q53-P53</f>
        <v>-8746529.7999999896</v>
      </c>
      <c r="S53" s="8" t="s">
        <v>27</v>
      </c>
      <c r="T53" s="8"/>
      <c r="U53" s="8">
        <f>53803711.37-R53+1230375.34</f>
        <v>63780616.50999999</v>
      </c>
      <c r="V53" s="8">
        <v>56556454.460000001</v>
      </c>
      <c r="W53" s="8">
        <f>V53-U53</f>
        <v>-7224162.0499999896</v>
      </c>
      <c r="X53" s="9">
        <f>Q53+V53</f>
        <v>111407174.91</v>
      </c>
      <c r="Y53" s="8" t="s">
        <v>27</v>
      </c>
      <c r="Z53" s="8"/>
      <c r="AA53" s="8">
        <f>39589744.81-W53+1245711.03</f>
        <v>48059617.889999993</v>
      </c>
      <c r="AB53" s="8">
        <v>57225603.420000002</v>
      </c>
      <c r="AC53" s="8">
        <f>AB53-AA53</f>
        <v>9165985.5300000086</v>
      </c>
      <c r="AD53" s="10" t="s">
        <v>27</v>
      </c>
      <c r="AE53" s="10"/>
      <c r="AF53" s="8">
        <f>47362101.89-AC53+10220346.47</f>
        <v>48416462.829999991</v>
      </c>
      <c r="AG53" s="8">
        <v>51404485.340000004</v>
      </c>
      <c r="AH53" s="8">
        <f>AG53-AF53</f>
        <v>2988022.5100000128</v>
      </c>
      <c r="AI53" s="9">
        <f>AB53+AG53</f>
        <v>108630088.76000001</v>
      </c>
      <c r="AJ53" s="8" t="e">
        <f>#REF!+AI53</f>
        <v>#REF!</v>
      </c>
      <c r="AK53" s="10" t="s">
        <v>27</v>
      </c>
      <c r="AL53" s="10"/>
      <c r="AM53" s="8">
        <f>53290517.18-AH53+6663778</f>
        <v>56966272.669999987</v>
      </c>
      <c r="AN53" s="8">
        <v>64774209.840000004</v>
      </c>
      <c r="AO53" s="8">
        <f>AN53-AM53</f>
        <v>7807937.1700000167</v>
      </c>
      <c r="AP53" s="8" t="s">
        <v>27</v>
      </c>
      <c r="AQ53" s="8"/>
      <c r="AR53" s="8">
        <f>52636342.71-AO53+7430503.97</f>
        <v>52258909.509999983</v>
      </c>
      <c r="AS53" s="8">
        <v>55943531.950000003</v>
      </c>
      <c r="AT53" s="8">
        <f>AS53-AR53</f>
        <v>3684622.44000002</v>
      </c>
      <c r="AU53" s="9">
        <f>AN53+AS53</f>
        <v>120717741.79000001</v>
      </c>
      <c r="AV53" s="10" t="e">
        <f>AJ53+AU53</f>
        <v>#REF!</v>
      </c>
      <c r="AW53" s="10"/>
      <c r="AX53" s="10"/>
      <c r="AY53" s="8">
        <f>52155428.89-AT53</f>
        <v>48470806.449999981</v>
      </c>
      <c r="AZ53" s="8">
        <v>50027925.280000001</v>
      </c>
      <c r="BA53" s="8">
        <f>AZ53-AY53</f>
        <v>1557118.8300000206</v>
      </c>
      <c r="BB53" s="8" t="s">
        <v>27</v>
      </c>
      <c r="BC53" s="8"/>
      <c r="BD53" s="8">
        <v>47183571</v>
      </c>
      <c r="BE53" s="8">
        <v>48313103.729999997</v>
      </c>
      <c r="BF53" s="8">
        <f>BE53-BD53</f>
        <v>1129532.7299999967</v>
      </c>
      <c r="BG53" s="9">
        <f>AY53+BD53</f>
        <v>95654377.449999988</v>
      </c>
      <c r="BH53" s="10" t="e">
        <f>AV53+BG53</f>
        <v>#REF!</v>
      </c>
      <c r="BI53" s="10" t="s">
        <v>27</v>
      </c>
      <c r="BJ53" s="10"/>
      <c r="BK53" s="8">
        <v>48092695.659999996</v>
      </c>
      <c r="BL53" s="8"/>
      <c r="BM53" s="10">
        <f>BK53</f>
        <v>48092695.659999996</v>
      </c>
      <c r="BN53" s="10"/>
      <c r="BO53" s="10" t="s">
        <v>27</v>
      </c>
      <c r="BP53" s="8">
        <v>71297115.120000005</v>
      </c>
      <c r="BQ53" s="8"/>
      <c r="BR53" s="10">
        <f>BP53</f>
        <v>71297115.120000005</v>
      </c>
      <c r="BS53" s="9">
        <f>SUM(M53+X53+AI53+AU53+BG53+BK53+BP53)</f>
        <v>691103182.30999994</v>
      </c>
      <c r="BT53" s="26">
        <f>F53+K53+Q53+V53+AB53+AG53+AN53+AS53+AZ53+BE53+BL53+BQ53</f>
        <v>574400023.09000003</v>
      </c>
      <c r="BU53" s="23">
        <f>BS53-BT53</f>
        <v>116703159.21999991</v>
      </c>
      <c r="IO53" s="3"/>
      <c r="IP53" s="3"/>
      <c r="IQ53" s="3"/>
      <c r="IR53" s="3"/>
      <c r="IS53" s="3"/>
    </row>
    <row r="54" spans="1:253" s="24" customFormat="1" ht="17.100000000000001" customHeight="1" x14ac:dyDescent="0.2">
      <c r="A54" s="14" t="s">
        <v>33</v>
      </c>
      <c r="B54" s="27">
        <f>B27</f>
        <v>658786000</v>
      </c>
      <c r="C54" s="8">
        <f>C27</f>
        <v>4340000</v>
      </c>
      <c r="D54" s="8">
        <f>D27</f>
        <v>3924620.62</v>
      </c>
      <c r="E54" s="8">
        <f>E27</f>
        <v>193916197.23999998</v>
      </c>
      <c r="F54" s="8">
        <f>F27</f>
        <v>40242356.63000001</v>
      </c>
      <c r="G54" s="8">
        <f>C54-D54+E54-F54</f>
        <v>154089219.98999995</v>
      </c>
      <c r="H54" s="8">
        <f>H27</f>
        <v>4235379.38</v>
      </c>
      <c r="I54" s="8">
        <f>I27</f>
        <v>3951208.91</v>
      </c>
      <c r="J54" s="8">
        <f>J27</f>
        <v>215834409.20000002</v>
      </c>
      <c r="K54" s="8">
        <f>K27</f>
        <v>40678413.029999994</v>
      </c>
      <c r="L54" s="8">
        <f>H54-I54+J54-K54</f>
        <v>175440166.64000002</v>
      </c>
      <c r="M54" s="9">
        <f>D54+F54+I54+K54</f>
        <v>88796599.189999998</v>
      </c>
      <c r="N54" s="8">
        <f>N27</f>
        <v>3906170.47</v>
      </c>
      <c r="O54" s="8">
        <f t="shared" ref="O54" si="30">O27</f>
        <v>3723273.47</v>
      </c>
      <c r="P54" s="8">
        <f>P27</f>
        <v>227136453.47999996</v>
      </c>
      <c r="Q54" s="8">
        <f>Q27</f>
        <v>48370175.840000004</v>
      </c>
      <c r="R54" s="8">
        <f>SUM(N54-O54,P54-Q54)</f>
        <v>178949174.63999996</v>
      </c>
      <c r="S54" s="8">
        <f>S27</f>
        <v>3824897</v>
      </c>
      <c r="T54" s="8">
        <f>T27</f>
        <v>3717752.24</v>
      </c>
      <c r="U54" s="8">
        <f>U34+U44</f>
        <v>236075455.74999994</v>
      </c>
      <c r="V54" s="8">
        <f>V27</f>
        <v>45698623.979999997</v>
      </c>
      <c r="W54" s="8">
        <f>SUM(S54-T54,U54-V54)</f>
        <v>190483976.52999994</v>
      </c>
      <c r="X54" s="9">
        <f>O54+Q54+T54+V54</f>
        <v>101509825.53</v>
      </c>
      <c r="Y54" s="8">
        <f>Y27</f>
        <v>3829144.7600000002</v>
      </c>
      <c r="Z54" s="8">
        <f>Z27</f>
        <v>3737968.0500000003</v>
      </c>
      <c r="AA54" s="8">
        <f>AA27-AA28</f>
        <v>240874321.83000001</v>
      </c>
      <c r="AB54" s="8">
        <f>AB27</f>
        <v>53168786.160000004</v>
      </c>
      <c r="AC54" s="8">
        <f>Y54-Z54+AA54-AB54</f>
        <v>187796712.38000003</v>
      </c>
      <c r="AD54" s="8">
        <f>AD27</f>
        <v>3413176.71</v>
      </c>
      <c r="AE54" s="8">
        <f>AE27</f>
        <v>2476879.0699999998</v>
      </c>
      <c r="AF54" s="8">
        <f>AF27</f>
        <v>247116392.12</v>
      </c>
      <c r="AG54" s="8">
        <f>AG27</f>
        <v>47017832.599999994</v>
      </c>
      <c r="AH54" s="8">
        <f>AD54-AE54+AF54-AG54</f>
        <v>201034857.16</v>
      </c>
      <c r="AI54" s="9">
        <f>Z54+AB54+AE54+AG54</f>
        <v>106401465.88</v>
      </c>
      <c r="AJ54" s="8" t="e">
        <f>#REF!+AI54</f>
        <v>#REF!</v>
      </c>
      <c r="AK54" s="8">
        <f>AK27</f>
        <v>4278297.6399999997</v>
      </c>
      <c r="AL54" s="8">
        <f>AL27</f>
        <v>2482939.6</v>
      </c>
      <c r="AM54" s="8">
        <f>AM27</f>
        <v>254720050.42999989</v>
      </c>
      <c r="AN54" s="8">
        <f>AN27</f>
        <v>50353888.090000004</v>
      </c>
      <c r="AO54" s="8">
        <f>AK54-AL54+AM54-AN54</f>
        <v>206161520.37999988</v>
      </c>
      <c r="AP54" s="8">
        <f>AP27</f>
        <v>4257358.0399999991</v>
      </c>
      <c r="AQ54" s="8">
        <f>AQ27</f>
        <v>1978290.12</v>
      </c>
      <c r="AR54" s="8">
        <f>AR27</f>
        <v>261291486.57999998</v>
      </c>
      <c r="AS54" s="8">
        <f>AS27</f>
        <v>51680418.440000005</v>
      </c>
      <c r="AT54" s="8">
        <f>AP54-AQ54+AR54-AS54</f>
        <v>211890136.05999997</v>
      </c>
      <c r="AU54" s="9">
        <f>AL54+AN54+AQ54+AS54</f>
        <v>106495536.25</v>
      </c>
      <c r="AV54" s="8" t="e">
        <f>AJ54+AU54</f>
        <v>#REF!</v>
      </c>
      <c r="AW54" s="8">
        <f>AW27</f>
        <v>4701067.92</v>
      </c>
      <c r="AX54" s="8">
        <f>AX27</f>
        <v>0</v>
      </c>
      <c r="AY54" s="8">
        <f>AY27</f>
        <v>251665131.93000004</v>
      </c>
      <c r="AZ54" s="8">
        <f>AZ27</f>
        <v>0</v>
      </c>
      <c r="BA54" s="8">
        <f>AW54-AX54+AY54-AZ54</f>
        <v>256366199.85000002</v>
      </c>
      <c r="BB54" s="8">
        <f>BB27</f>
        <v>2422000</v>
      </c>
      <c r="BC54" s="8">
        <f>BC27</f>
        <v>0</v>
      </c>
      <c r="BD54" s="8">
        <f>BD27</f>
        <v>59113887.640000001</v>
      </c>
      <c r="BE54" s="8">
        <f>BE27</f>
        <v>0</v>
      </c>
      <c r="BF54" s="8">
        <f>BB54-BC54+BD54-BE54</f>
        <v>61535887.640000001</v>
      </c>
      <c r="BG54" s="9">
        <f>AW54+AY54+BB54+BD54</f>
        <v>317902087.49000001</v>
      </c>
      <c r="BH54" s="8" t="e">
        <f>AV54+BG54</f>
        <v>#REF!</v>
      </c>
      <c r="BI54" s="8">
        <f>BI27</f>
        <v>2422000</v>
      </c>
      <c r="BJ54" s="8" t="e">
        <f>#REF!</f>
        <v>#REF!</v>
      </c>
      <c r="BK54" s="8">
        <f>BK27</f>
        <v>45184474.369999997</v>
      </c>
      <c r="BL54" s="8" t="e">
        <f>#REF!</f>
        <v>#REF!</v>
      </c>
      <c r="BM54" s="8" t="e">
        <f>BI54-BJ54+BK54-BL54</f>
        <v>#REF!</v>
      </c>
      <c r="BN54" s="8">
        <f>BN27</f>
        <v>2258000</v>
      </c>
      <c r="BO54" s="8" t="e">
        <f>#REF!</f>
        <v>#REF!</v>
      </c>
      <c r="BP54" s="8">
        <f>BP27</f>
        <v>31102840.949999999</v>
      </c>
      <c r="BQ54" s="8" t="e">
        <f>#REF!</f>
        <v>#REF!</v>
      </c>
      <c r="BR54" s="8" t="e">
        <f>BN54-BO54+BP54-BQ54</f>
        <v>#REF!</v>
      </c>
      <c r="BS54" s="9">
        <f>SUM(M54+X54+AI54+AU54+BG54+BK54+BP54+BI54+BN54)</f>
        <v>802072829.66000009</v>
      </c>
      <c r="BT54" s="28" t="e">
        <f>#REF!--#REF!</f>
        <v>#REF!</v>
      </c>
      <c r="BU54" s="23" t="e">
        <f>BS54-BT54</f>
        <v>#REF!</v>
      </c>
      <c r="IO54" s="3"/>
      <c r="IP54" s="3"/>
      <c r="IQ54" s="3"/>
      <c r="IR54" s="3"/>
      <c r="IS54" s="3"/>
    </row>
    <row r="55" spans="1:253" s="24" customFormat="1" ht="17.100000000000001" customHeight="1" x14ac:dyDescent="0.2">
      <c r="A55" s="14" t="s">
        <v>53</v>
      </c>
      <c r="B55" s="27"/>
      <c r="C55" s="8"/>
      <c r="D55" s="8"/>
      <c r="E55" s="8">
        <f>E53-C54-E54</f>
        <v>-109737365.98999998</v>
      </c>
      <c r="F55" s="8">
        <f>F53-D54-F54</f>
        <v>42185496.029999986</v>
      </c>
      <c r="G55" s="8"/>
      <c r="H55" s="8"/>
      <c r="I55" s="8"/>
      <c r="J55" s="8">
        <f>J53-H54-J54</f>
        <v>-164912052.71000004</v>
      </c>
      <c r="K55" s="8">
        <f>K53-I54-K54</f>
        <v>4321893.4000000134</v>
      </c>
      <c r="L55" s="8"/>
      <c r="M55" s="9">
        <f>M53-M54</f>
        <v>46507389.430000007</v>
      </c>
      <c r="N55" s="8"/>
      <c r="O55" s="8"/>
      <c r="P55" s="8">
        <f>P53-N54-P54</f>
        <v>-167445373.69999996</v>
      </c>
      <c r="Q55" s="8">
        <f>Q53-O54-Q54</f>
        <v>2757271.1400000006</v>
      </c>
      <c r="R55" s="8"/>
      <c r="S55" s="8"/>
      <c r="T55" s="8"/>
      <c r="U55" s="8">
        <f>U53-S54-U54</f>
        <v>-176119736.23999995</v>
      </c>
      <c r="V55" s="8">
        <f>V53-T54-V54</f>
        <v>7140078.2400000021</v>
      </c>
      <c r="W55" s="8"/>
      <c r="X55" s="9">
        <f>X53-X54</f>
        <v>9897349.3799999952</v>
      </c>
      <c r="Y55" s="8"/>
      <c r="Z55" s="8"/>
      <c r="AA55" s="8">
        <f>AA53-Y54-AA54</f>
        <v>-196643848.70000002</v>
      </c>
      <c r="AB55" s="8">
        <f>AB53-Z54-AB54</f>
        <v>318849.21000000089</v>
      </c>
      <c r="AC55" s="8"/>
      <c r="AD55" s="8"/>
      <c r="AE55" s="8"/>
      <c r="AF55" s="8">
        <f>AF53-AD54-AF54</f>
        <v>-202113106</v>
      </c>
      <c r="AG55" s="8">
        <f>AG53-AE54-AG54</f>
        <v>1909773.6700000092</v>
      </c>
      <c r="AH55" s="8"/>
      <c r="AI55" s="9">
        <f>AI53-AI54</f>
        <v>2228622.8800000101</v>
      </c>
      <c r="AJ55" s="8"/>
      <c r="AK55" s="8"/>
      <c r="AL55" s="8"/>
      <c r="AM55" s="8">
        <f>AM53-AK54-AM54</f>
        <v>-202032075.39999992</v>
      </c>
      <c r="AN55" s="8">
        <f>AN53-AL54-AN54</f>
        <v>11937382.149999999</v>
      </c>
      <c r="AO55" s="8"/>
      <c r="AP55" s="8"/>
      <c r="AQ55" s="8"/>
      <c r="AR55" s="8">
        <f>AR53-AP54-AR54</f>
        <v>-213289935.11000001</v>
      </c>
      <c r="AS55" s="8">
        <f>AS53-AQ54-AS54</f>
        <v>2284823.3900000006</v>
      </c>
      <c r="AT55" s="8"/>
      <c r="AU55" s="9">
        <f>AU53-AU54</f>
        <v>14222205.540000007</v>
      </c>
      <c r="AV55" s="8"/>
      <c r="AW55" s="8"/>
      <c r="AX55" s="8"/>
      <c r="AY55" s="8">
        <f>AY53-AW54-AY54</f>
        <v>-207895393.40000007</v>
      </c>
      <c r="AZ55" s="8">
        <f>AZ53-AX54-AZ54</f>
        <v>50027925.280000001</v>
      </c>
      <c r="BA55" s="8"/>
      <c r="BB55" s="8"/>
      <c r="BC55" s="8"/>
      <c r="BD55" s="8">
        <f>BD53-BB54-BD54</f>
        <v>-14352316.640000001</v>
      </c>
      <c r="BE55" s="8">
        <f>BE53-BC54-BE54</f>
        <v>48313103.729999997</v>
      </c>
      <c r="BF55" s="8"/>
      <c r="BG55" s="9">
        <f>BG53-BG54</f>
        <v>-222247710.04000002</v>
      </c>
      <c r="BH55" s="8"/>
      <c r="BI55" s="8"/>
      <c r="BJ55" s="8"/>
      <c r="BK55" s="8">
        <f>BK53-BI54-BK54</f>
        <v>486221.28999999911</v>
      </c>
      <c r="BL55" s="8">
        <f>BE56</f>
        <v>296742585.42000008</v>
      </c>
      <c r="BM55" s="8"/>
      <c r="BN55" s="8"/>
      <c r="BO55" s="8"/>
      <c r="BP55" s="8">
        <f>BP53-BN54-BP54</f>
        <v>37936274.170000002</v>
      </c>
      <c r="BQ55" s="8"/>
      <c r="BR55" s="8"/>
      <c r="BS55" s="8">
        <f>BS53-BS54</f>
        <v>-110969647.35000014</v>
      </c>
      <c r="BT55" s="28"/>
      <c r="BU55" s="23"/>
      <c r="IO55" s="3"/>
      <c r="IP55" s="3"/>
      <c r="IQ55" s="3"/>
      <c r="IR55" s="3"/>
      <c r="IS55" s="3"/>
    </row>
    <row r="56" spans="1:253" s="24" customFormat="1" ht="14.1" customHeight="1" x14ac:dyDescent="0.2">
      <c r="A56" s="14" t="s">
        <v>54</v>
      </c>
      <c r="B56" s="9">
        <f>B53+B57-B54</f>
        <v>125545989.18000007</v>
      </c>
      <c r="C56" s="9"/>
      <c r="D56" s="9"/>
      <c r="E56" s="8">
        <f>E55+B56</f>
        <v>15808623.190000087</v>
      </c>
      <c r="F56" s="8">
        <f>F55+B56</f>
        <v>167731485.21000004</v>
      </c>
      <c r="G56" s="8"/>
      <c r="H56" s="8"/>
      <c r="I56" s="8"/>
      <c r="J56" s="8">
        <f>J55+F56</f>
        <v>2819432.5</v>
      </c>
      <c r="K56" s="8">
        <f>K55+F56</f>
        <v>172053378.61000004</v>
      </c>
      <c r="L56" s="8"/>
      <c r="M56" s="9">
        <f>M55+B56</f>
        <v>172053378.61000007</v>
      </c>
      <c r="N56" s="11"/>
      <c r="O56" s="11"/>
      <c r="P56" s="8">
        <f>P55+K56</f>
        <v>4608004.9100000858</v>
      </c>
      <c r="Q56" s="8">
        <f>K56+Q55</f>
        <v>174810649.75000006</v>
      </c>
      <c r="R56" s="8"/>
      <c r="S56" s="8"/>
      <c r="T56" s="8"/>
      <c r="U56" s="8">
        <f>Q56+U55</f>
        <v>-1309086.4899998903</v>
      </c>
      <c r="V56" s="8">
        <f>V55+Q56</f>
        <v>181950727.99000007</v>
      </c>
      <c r="W56" s="8"/>
      <c r="X56" s="9">
        <f>X55+M56</f>
        <v>181950727.99000007</v>
      </c>
      <c r="Y56" s="8"/>
      <c r="Z56" s="8"/>
      <c r="AA56" s="8">
        <f>AA55+V56</f>
        <v>-14693120.709999949</v>
      </c>
      <c r="AB56" s="8">
        <f>AB55+V56</f>
        <v>182269577.20000008</v>
      </c>
      <c r="AC56" s="8"/>
      <c r="AD56" s="8"/>
      <c r="AE56" s="8"/>
      <c r="AF56" s="8">
        <f>AF55+AB56</f>
        <v>-19843528.799999923</v>
      </c>
      <c r="AG56" s="8">
        <f>AG55+AB56</f>
        <v>184179350.87000009</v>
      </c>
      <c r="AH56" s="8"/>
      <c r="AI56" s="9">
        <f>AI55+X56</f>
        <v>184179350.87000006</v>
      </c>
      <c r="AJ56" s="8" t="e">
        <f>AJ53+AJ57+AJ54+#REF!-#REF!-#REF!-#REF!-#REF!</f>
        <v>#REF!</v>
      </c>
      <c r="AK56" s="8"/>
      <c r="AL56" s="8"/>
      <c r="AM56" s="8">
        <f>AM55+AG56</f>
        <v>-17852724.529999822</v>
      </c>
      <c r="AN56" s="8">
        <f>AN55+AG56</f>
        <v>196116733.0200001</v>
      </c>
      <c r="AO56" s="8"/>
      <c r="AP56" s="8"/>
      <c r="AQ56" s="8"/>
      <c r="AR56" s="8">
        <f>AR55+AN56</f>
        <v>-17173202.089999914</v>
      </c>
      <c r="AS56" s="8">
        <f>AS55+AN56</f>
        <v>198401556.41000009</v>
      </c>
      <c r="AT56" s="8"/>
      <c r="AU56" s="9">
        <f>AU55+AI56</f>
        <v>198401556.41000009</v>
      </c>
      <c r="AV56" s="8" t="e">
        <f>AV53+AV57+AV54+#REF!-#REF!-#REF!-#REF!-#REF!</f>
        <v>#REF!</v>
      </c>
      <c r="AW56" s="8"/>
      <c r="AX56" s="8"/>
      <c r="AY56" s="8">
        <f>AY55+AS56</f>
        <v>-9493836.9899999797</v>
      </c>
      <c r="AZ56" s="8">
        <f>AZ55+AS56</f>
        <v>248429481.69000009</v>
      </c>
      <c r="BA56" s="8"/>
      <c r="BB56" s="8" t="s">
        <v>27</v>
      </c>
      <c r="BC56" s="8" t="s">
        <v>27</v>
      </c>
      <c r="BD56" s="8">
        <f>BD55+AY56</f>
        <v>-23846153.62999998</v>
      </c>
      <c r="BE56" s="8">
        <f>BE55+AZ56</f>
        <v>296742585.42000008</v>
      </c>
      <c r="BF56" s="8"/>
      <c r="BG56" s="9">
        <f>BG55+AU56</f>
        <v>-23846153.629999936</v>
      </c>
      <c r="BH56" s="8" t="e">
        <f>BH53+BH57+BH54+#REF!-#REF!-#REF!-#REF!-#REF!</f>
        <v>#REF!</v>
      </c>
      <c r="BI56" s="8"/>
      <c r="BJ56" s="8"/>
      <c r="BK56" s="8">
        <f>BK55+BD56</f>
        <v>-23359932.339999981</v>
      </c>
      <c r="BL56" s="8" t="e">
        <f>BL53+BL57-BJ54-BL54+BL55</f>
        <v>#REF!</v>
      </c>
      <c r="BM56" s="8"/>
      <c r="BN56" s="8" t="s">
        <v>27</v>
      </c>
      <c r="BO56" s="8" t="s">
        <v>27</v>
      </c>
      <c r="BP56" s="8">
        <f>BP55+BK56</f>
        <v>14576341.830000021</v>
      </c>
      <c r="BQ56" s="8" t="e">
        <f>BQ53-SUM(BQ54:BQ55)</f>
        <v>#REF!</v>
      </c>
      <c r="BR56" s="8" t="e">
        <f>BR53-SUM(BR54:BR55)</f>
        <v>#REF!</v>
      </c>
      <c r="BS56" s="8">
        <f>BG56+BK55+BP55</f>
        <v>14576341.830000065</v>
      </c>
      <c r="BT56" s="28" t="e">
        <f>BT53-SUM(BT54:BT55)</f>
        <v>#REF!</v>
      </c>
      <c r="BU56" s="23" t="e">
        <f>BS56-BT56</f>
        <v>#REF!</v>
      </c>
      <c r="IO56" s="3"/>
      <c r="IP56" s="3"/>
      <c r="IQ56" s="3"/>
      <c r="IR56" s="3"/>
      <c r="IS56" s="3"/>
    </row>
    <row r="57" spans="1:253" s="24" customFormat="1" ht="15.75" customHeight="1" x14ac:dyDescent="0.2">
      <c r="A57" s="48" t="s">
        <v>35</v>
      </c>
      <c r="B57" s="45">
        <v>125545989.18000001</v>
      </c>
      <c r="C57" s="43"/>
      <c r="D57" s="43"/>
      <c r="E57" s="43"/>
      <c r="F57" s="43">
        <v>70449817.670000002</v>
      </c>
      <c r="G57" s="43"/>
      <c r="H57" s="43"/>
      <c r="I57" s="43"/>
      <c r="J57" s="43"/>
      <c r="K57" s="43">
        <v>4600250.99</v>
      </c>
      <c r="L57" s="43"/>
      <c r="M57" s="43">
        <f>F57+K57</f>
        <v>75050068.659999996</v>
      </c>
      <c r="N57" s="49"/>
      <c r="O57" s="49"/>
      <c r="P57" s="43"/>
      <c r="Q57" s="43">
        <v>9813121.8300000001</v>
      </c>
      <c r="R57" s="43"/>
      <c r="S57" s="43"/>
      <c r="T57" s="43"/>
      <c r="U57" s="43"/>
      <c r="V57" s="43">
        <v>8234628.2199999997</v>
      </c>
      <c r="W57" s="43"/>
      <c r="X57" s="43">
        <f>Q57+V57</f>
        <v>18047750.050000001</v>
      </c>
      <c r="Y57" s="43"/>
      <c r="Z57" s="43"/>
      <c r="AA57" s="43"/>
      <c r="AB57" s="43">
        <v>8100013.6500000004</v>
      </c>
      <c r="AC57" s="43"/>
      <c r="AD57" s="43"/>
      <c r="AE57" s="43"/>
      <c r="AF57" s="43"/>
      <c r="AG57" s="43">
        <v>4497859.6900000004</v>
      </c>
      <c r="AH57" s="43"/>
      <c r="AI57" s="43">
        <f>AB57+AG57</f>
        <v>12597873.34</v>
      </c>
      <c r="AJ57" s="43" t="e">
        <f>#REF!+AI57</f>
        <v>#REF!</v>
      </c>
      <c r="AK57" s="43"/>
      <c r="AL57" s="43"/>
      <c r="AM57" s="43"/>
      <c r="AN57" s="43">
        <v>4182821.6</v>
      </c>
      <c r="AO57" s="43"/>
      <c r="AP57" s="43"/>
      <c r="AQ57" s="43"/>
      <c r="AR57" s="43"/>
      <c r="AS57" s="43">
        <v>1091133.7</v>
      </c>
      <c r="AT57" s="43"/>
      <c r="AU57" s="43">
        <f>AN57+AS57</f>
        <v>5273955.3</v>
      </c>
      <c r="AV57" s="43" t="e">
        <f>AJ57+AU57</f>
        <v>#REF!</v>
      </c>
      <c r="AW57" s="43"/>
      <c r="AX57" s="43"/>
      <c r="AY57" s="43"/>
      <c r="AZ57" s="43">
        <v>4111374.61</v>
      </c>
      <c r="BA57" s="43">
        <f>AT57-AZ57</f>
        <v>-4111374.61</v>
      </c>
      <c r="BB57" s="43"/>
      <c r="BC57" s="43"/>
      <c r="BD57" s="43"/>
      <c r="BE57" s="43">
        <v>2478039.2400000002</v>
      </c>
      <c r="BF57" s="43">
        <f>BD57-BE57</f>
        <v>-2478039.2400000002</v>
      </c>
      <c r="BG57" s="43"/>
      <c r="BH57" s="43" t="e">
        <f>AV57+BG57</f>
        <v>#REF!</v>
      </c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>
        <f>B57</f>
        <v>125545989.18000001</v>
      </c>
      <c r="BT57" s="26"/>
      <c r="BU57" s="23">
        <f>BS57-BT57</f>
        <v>125545989.18000001</v>
      </c>
      <c r="IO57" s="3"/>
      <c r="IP57" s="3"/>
      <c r="IQ57" s="3"/>
      <c r="IR57" s="3"/>
      <c r="IS57" s="3"/>
    </row>
    <row r="59" spans="1:253" x14ac:dyDescent="0.2">
      <c r="U59" s="20"/>
      <c r="W59" s="19"/>
      <c r="X59" s="24"/>
      <c r="AF59" s="20"/>
      <c r="AH59" s="19"/>
      <c r="AI59" s="24"/>
      <c r="AK59" s="20"/>
      <c r="AP59" s="24"/>
      <c r="AR59" s="20"/>
      <c r="AT59" s="19"/>
      <c r="AU59" s="24"/>
      <c r="AW59" s="20"/>
      <c r="BB59" s="24"/>
      <c r="BF59" s="16"/>
      <c r="BG59" s="24"/>
      <c r="BI59" s="20"/>
      <c r="BN59" s="24"/>
      <c r="BU59" s="16"/>
      <c r="BV59" s="2"/>
      <c r="IR59" s="3"/>
    </row>
    <row r="60" spans="1:253" x14ac:dyDescent="0.2">
      <c r="U60" s="20"/>
      <c r="W60" s="19"/>
      <c r="X60" s="24"/>
      <c r="AF60" s="20"/>
      <c r="AH60" s="19"/>
      <c r="AI60" s="24"/>
      <c r="AK60" s="20"/>
      <c r="AP60" s="24"/>
      <c r="AR60" s="20"/>
      <c r="AT60" s="19"/>
      <c r="AU60" s="24"/>
      <c r="AW60" s="20"/>
      <c r="BB60" s="24"/>
      <c r="BF60" s="16"/>
      <c r="BG60" s="24"/>
      <c r="BI60" s="20"/>
      <c r="BN60" s="24"/>
      <c r="BU60" s="16"/>
      <c r="BV60" s="2"/>
      <c r="IR60" s="3"/>
    </row>
    <row r="61" spans="1:253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BV61" s="2"/>
      <c r="IR61" s="3"/>
    </row>
    <row r="62" spans="1:253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BV62" s="2"/>
      <c r="IR62" s="3"/>
    </row>
    <row r="63" spans="1:253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BV63" s="2"/>
      <c r="IR63" s="3"/>
    </row>
    <row r="64" spans="1:253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BV64" s="2"/>
      <c r="IR64" s="3"/>
    </row>
    <row r="65" spans="21:252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BV65" s="2"/>
      <c r="IR65" s="3"/>
    </row>
    <row r="66" spans="21:252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BV66" s="2"/>
      <c r="IR66" s="3"/>
    </row>
    <row r="67" spans="21:252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BV67" s="2"/>
      <c r="IR67" s="3"/>
    </row>
    <row r="68" spans="21:252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BV68" s="2"/>
      <c r="IR68" s="3"/>
    </row>
    <row r="69" spans="21:252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BV69" s="2"/>
      <c r="IR69" s="3"/>
    </row>
    <row r="70" spans="21:252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BV70" s="2"/>
      <c r="IR70" s="3"/>
    </row>
    <row r="71" spans="21:252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BV71" s="2"/>
      <c r="IR71" s="3"/>
    </row>
    <row r="72" spans="21:252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BV72" s="2"/>
      <c r="IR72" s="3"/>
    </row>
    <row r="73" spans="21:252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BV73" s="2"/>
      <c r="IR73" s="3"/>
    </row>
    <row r="74" spans="21:252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BV74" s="2"/>
      <c r="IR74" s="3"/>
    </row>
    <row r="75" spans="21:252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BV75" s="2"/>
      <c r="IR75" s="3"/>
    </row>
    <row r="76" spans="21:252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BV76" s="2"/>
      <c r="IR76" s="3"/>
    </row>
    <row r="77" spans="21:252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BV77" s="2"/>
      <c r="IR77" s="3"/>
    </row>
    <row r="78" spans="21:252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BV78" s="2"/>
      <c r="IR78" s="3"/>
    </row>
    <row r="79" spans="21:252" x14ac:dyDescent="0.2">
      <c r="U79" s="20"/>
      <c r="W79" s="19"/>
      <c r="X79" s="24"/>
      <c r="AF79" s="20"/>
      <c r="AH79" s="19"/>
      <c r="AI79" s="24"/>
      <c r="AK79" s="20"/>
      <c r="AP79" s="24"/>
      <c r="AR79" s="20"/>
      <c r="AT79" s="19"/>
      <c r="AU79" s="24"/>
      <c r="AW79" s="20"/>
      <c r="BB79" s="24"/>
      <c r="BF79" s="16"/>
      <c r="BG79" s="24"/>
      <c r="BI79" s="20"/>
      <c r="BN79" s="24"/>
      <c r="BU79" s="16"/>
      <c r="BV79" s="2"/>
      <c r="IR79" s="3"/>
    </row>
    <row r="80" spans="21:252" x14ac:dyDescent="0.2">
      <c r="U80" s="20"/>
      <c r="W80" s="19"/>
      <c r="X80" s="24"/>
      <c r="AF80" s="20"/>
      <c r="AH80" s="19"/>
      <c r="AI80" s="24"/>
      <c r="AK80" s="20"/>
      <c r="AP80" s="24"/>
      <c r="AR80" s="20"/>
      <c r="AT80" s="19"/>
      <c r="AU80" s="24"/>
      <c r="AW80" s="20"/>
      <c r="BB80" s="24"/>
      <c r="BF80" s="16"/>
      <c r="BG80" s="24"/>
      <c r="BI80" s="20"/>
      <c r="BN80" s="24"/>
      <c r="BU80" s="16"/>
      <c r="BV80" s="2"/>
      <c r="IR80" s="3"/>
    </row>
    <row r="81" spans="21:252" x14ac:dyDescent="0.2">
      <c r="U81" s="20"/>
      <c r="W81" s="19"/>
      <c r="X81" s="24"/>
      <c r="AF81" s="20"/>
      <c r="AH81" s="19"/>
      <c r="AI81" s="24"/>
      <c r="AK81" s="20"/>
      <c r="AP81" s="24"/>
      <c r="AR81" s="20"/>
      <c r="AT81" s="19"/>
      <c r="AU81" s="24"/>
      <c r="AW81" s="20"/>
      <c r="BB81" s="24"/>
      <c r="BF81" s="16"/>
      <c r="BG81" s="24"/>
      <c r="BI81" s="20"/>
      <c r="BN81" s="24"/>
      <c r="BU81" s="16"/>
      <c r="BV81" s="2"/>
      <c r="IR81" s="3"/>
    </row>
  </sheetData>
  <mergeCells count="230">
    <mergeCell ref="BS3:BS4"/>
    <mergeCell ref="N1:X1"/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  <mergeCell ref="C3:D3"/>
    <mergeCell ref="E3:F3"/>
    <mergeCell ref="AI2:AI4"/>
    <mergeCell ref="R3:R4"/>
    <mergeCell ref="S3:T3"/>
    <mergeCell ref="U3:V3"/>
    <mergeCell ref="E31:F31"/>
    <mergeCell ref="G31:G32"/>
    <mergeCell ref="H31:I31"/>
    <mergeCell ref="L31:L32"/>
    <mergeCell ref="N31:O31"/>
    <mergeCell ref="S31:T31"/>
    <mergeCell ref="U31:V31"/>
    <mergeCell ref="W31:W32"/>
    <mergeCell ref="J31:K31"/>
    <mergeCell ref="P31:Q31"/>
    <mergeCell ref="C31:D31"/>
    <mergeCell ref="S2:W2"/>
    <mergeCell ref="X2:X4"/>
    <mergeCell ref="AC3:AC4"/>
    <mergeCell ref="AD3:AE3"/>
    <mergeCell ref="AF3:AG3"/>
    <mergeCell ref="AD2:AH2"/>
    <mergeCell ref="G3:G4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R31:R32"/>
    <mergeCell ref="BN3:BO3"/>
    <mergeCell ref="A30:B32"/>
    <mergeCell ref="AH3:AH4"/>
    <mergeCell ref="AR3:AS3"/>
    <mergeCell ref="AT3:AT4"/>
    <mergeCell ref="AW3:AX3"/>
    <mergeCell ref="AY3:AZ3"/>
    <mergeCell ref="AR31:AS31"/>
    <mergeCell ref="AT31:AT32"/>
    <mergeCell ref="Y30:AC30"/>
    <mergeCell ref="AW31:AX31"/>
    <mergeCell ref="C30:F30"/>
    <mergeCell ref="H30:L30"/>
    <mergeCell ref="M30:M32"/>
    <mergeCell ref="N30:R30"/>
    <mergeCell ref="S30:W30"/>
    <mergeCell ref="X30:X32"/>
    <mergeCell ref="BA3:BA4"/>
    <mergeCell ref="A2:A4"/>
    <mergeCell ref="B2:B4"/>
    <mergeCell ref="C2:F2"/>
    <mergeCell ref="BN31:BO31"/>
    <mergeCell ref="H3:I3"/>
    <mergeCell ref="AA31:AB31"/>
    <mergeCell ref="AC31:AC32"/>
    <mergeCell ref="AD31:AE31"/>
    <mergeCell ref="AF31:AG31"/>
    <mergeCell ref="AU40:AU42"/>
    <mergeCell ref="BF31:BF32"/>
    <mergeCell ref="BI31:BJ31"/>
    <mergeCell ref="BK31:BM31"/>
    <mergeCell ref="BH30:BH32"/>
    <mergeCell ref="BG30:BG32"/>
    <mergeCell ref="A40:B42"/>
    <mergeCell ref="C40:F40"/>
    <mergeCell ref="H40:L40"/>
    <mergeCell ref="M40:M42"/>
    <mergeCell ref="N40:R40"/>
    <mergeCell ref="BD31:BE31"/>
    <mergeCell ref="AH31:AH32"/>
    <mergeCell ref="AI30:AI32"/>
    <mergeCell ref="AJ30:AJ32"/>
    <mergeCell ref="AK30:AO30"/>
    <mergeCell ref="AJ40:AJ42"/>
    <mergeCell ref="Y41:Z41"/>
    <mergeCell ref="AA41:AB41"/>
    <mergeCell ref="AC41:AC42"/>
    <mergeCell ref="AD41:AE41"/>
    <mergeCell ref="AP40:AT40"/>
    <mergeCell ref="AD30:AH30"/>
    <mergeCell ref="AV30:AV32"/>
    <mergeCell ref="AW30:BA30"/>
    <mergeCell ref="AY31:AZ31"/>
    <mergeCell ref="BA31:BA32"/>
    <mergeCell ref="BB31:BC31"/>
    <mergeCell ref="AP31:AQ31"/>
    <mergeCell ref="Y31:Z31"/>
    <mergeCell ref="X40:X42"/>
    <mergeCell ref="Y40:AC40"/>
    <mergeCell ref="AD40:AH40"/>
    <mergeCell ref="AI40:AI42"/>
    <mergeCell ref="C41:D41"/>
    <mergeCell ref="E41:F41"/>
    <mergeCell ref="G41:G42"/>
    <mergeCell ref="H41:I41"/>
    <mergeCell ref="J41:K41"/>
    <mergeCell ref="L41:L42"/>
    <mergeCell ref="N41:O41"/>
    <mergeCell ref="P41:Q41"/>
    <mergeCell ref="AF41:AG41"/>
    <mergeCell ref="AH41:AH42"/>
    <mergeCell ref="S40:W40"/>
    <mergeCell ref="R41:R42"/>
    <mergeCell ref="S41:T41"/>
    <mergeCell ref="U41:V41"/>
    <mergeCell ref="W41:W42"/>
    <mergeCell ref="BB50:BF50"/>
    <mergeCell ref="AK51:AL51"/>
    <mergeCell ref="AM51:AN51"/>
    <mergeCell ref="AO51:AO52"/>
    <mergeCell ref="AP51:AQ51"/>
    <mergeCell ref="AR51:AS51"/>
    <mergeCell ref="AT51:AT52"/>
    <mergeCell ref="AW51:AX51"/>
    <mergeCell ref="AY51:AZ51"/>
    <mergeCell ref="AK50:AO50"/>
    <mergeCell ref="AP50:AT50"/>
    <mergeCell ref="AV50:AV52"/>
    <mergeCell ref="A50:B52"/>
    <mergeCell ref="C50:F50"/>
    <mergeCell ref="H50:L50"/>
    <mergeCell ref="M50:M52"/>
    <mergeCell ref="N50:R50"/>
    <mergeCell ref="S50:W50"/>
    <mergeCell ref="L51:L52"/>
    <mergeCell ref="AJ50:AJ52"/>
    <mergeCell ref="P51:Q51"/>
    <mergeCell ref="R51:R52"/>
    <mergeCell ref="AD50:AH50"/>
    <mergeCell ref="AI50:AI52"/>
    <mergeCell ref="C51:D51"/>
    <mergeCell ref="E51:F51"/>
    <mergeCell ref="G51:G52"/>
    <mergeCell ref="X50:X52"/>
    <mergeCell ref="Y50:AC50"/>
    <mergeCell ref="AD51:AE51"/>
    <mergeCell ref="AC51:AC52"/>
    <mergeCell ref="H51:I51"/>
    <mergeCell ref="J51:K51"/>
    <mergeCell ref="N51:O51"/>
    <mergeCell ref="AF51:AG51"/>
    <mergeCell ref="AH51:AH52"/>
    <mergeCell ref="BD41:BE41"/>
    <mergeCell ref="BF41:BF42"/>
    <mergeCell ref="AV40:AV42"/>
    <mergeCell ref="AW40:BA40"/>
    <mergeCell ref="BB40:BF40"/>
    <mergeCell ref="AK40:AO40"/>
    <mergeCell ref="AW41:AX41"/>
    <mergeCell ref="AY41:AZ41"/>
    <mergeCell ref="BA41:BA42"/>
    <mergeCell ref="BB41:BC41"/>
    <mergeCell ref="AO41:AO42"/>
    <mergeCell ref="AP41:AQ41"/>
    <mergeCell ref="AR41:AS41"/>
    <mergeCell ref="AT41:AT42"/>
    <mergeCell ref="AK41:AL41"/>
    <mergeCell ref="AM41:AN41"/>
    <mergeCell ref="AP30:AT30"/>
    <mergeCell ref="AU30:AU32"/>
    <mergeCell ref="AK31:AL31"/>
    <mergeCell ref="AM31:AN31"/>
    <mergeCell ref="AO31:AO32"/>
    <mergeCell ref="AU50:AU52"/>
    <mergeCell ref="C1:M1"/>
    <mergeCell ref="BN50:BR50"/>
    <mergeCell ref="BN41:BO41"/>
    <mergeCell ref="BA51:BA52"/>
    <mergeCell ref="BB51:BC51"/>
    <mergeCell ref="BD51:BE51"/>
    <mergeCell ref="BF51:BF52"/>
    <mergeCell ref="BI51:BJ51"/>
    <mergeCell ref="AW50:BA50"/>
    <mergeCell ref="BB30:BF30"/>
    <mergeCell ref="Y1:AI1"/>
    <mergeCell ref="AK1:BG1"/>
    <mergeCell ref="BI1:BS1"/>
    <mergeCell ref="S51:T51"/>
    <mergeCell ref="U51:V51"/>
    <mergeCell ref="W51:W52"/>
    <mergeCell ref="Y51:Z51"/>
    <mergeCell ref="AA51:AB51"/>
    <mergeCell ref="BS51:BS52"/>
    <mergeCell ref="BS31:BS32"/>
    <mergeCell ref="BS41:BS42"/>
    <mergeCell ref="BN51:BO51"/>
    <mergeCell ref="BP51:BR51"/>
    <mergeCell ref="BN30:BR30"/>
    <mergeCell ref="BK51:BM51"/>
    <mergeCell ref="BG50:BG52"/>
    <mergeCell ref="BH50:BH52"/>
    <mergeCell ref="BI50:BM50"/>
    <mergeCell ref="BK41:BM41"/>
    <mergeCell ref="BG40:BG42"/>
    <mergeCell ref="BH40:BH42"/>
    <mergeCell ref="BP41:BR41"/>
    <mergeCell ref="BI40:BM40"/>
    <mergeCell ref="BI41:BJ41"/>
    <mergeCell ref="BP31:BR31"/>
    <mergeCell ref="BN40:BR40"/>
    <mergeCell ref="BI30:BM30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9" max="71" man="1"/>
  </rowBreaks>
  <colBreaks count="3" manualBreakCount="3">
    <brk id="13" max="53" man="1"/>
    <brk id="36" max="53" man="1"/>
    <brk id="5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Nizeti</cp:lastModifiedBy>
  <cp:revision>1</cp:revision>
  <cp:lastPrinted>2021-10-02T21:18:17Z</cp:lastPrinted>
  <dcterms:created xsi:type="dcterms:W3CDTF">2007-05-23T16:50:29Z</dcterms:created>
  <dcterms:modified xsi:type="dcterms:W3CDTF">2021-10-02T21:18:18Z</dcterms:modified>
</cp:coreProperties>
</file>