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activeTab="0"/>
  </bookViews>
  <sheets>
    <sheet name="ANEXO I" sheetId="1" r:id="rId1"/>
  </sheets>
  <definedNames>
    <definedName name="_xlnm.Print_Titles" localSheetId="0">'ANEXO I'!$A:$A</definedName>
  </definedNames>
  <calcPr fullCalcOnLoad="1"/>
</workbook>
</file>

<file path=xl/sharedStrings.xml><?xml version="1.0" encoding="utf-8"?>
<sst xmlns="http://schemas.openxmlformats.org/spreadsheetml/2006/main" count="90" uniqueCount="44">
  <si>
    <t>Fontes de Receita</t>
  </si>
  <si>
    <t>JANEIRO</t>
  </si>
  <si>
    <t>FEVEREIRO</t>
  </si>
  <si>
    <t>1º BIMESTRE</t>
  </si>
  <si>
    <t>MARÇO</t>
  </si>
  <si>
    <t>ABRIL</t>
  </si>
  <si>
    <t>2º BIMESTRE</t>
  </si>
  <si>
    <t>MAIO</t>
  </si>
  <si>
    <t>JUNHO</t>
  </si>
  <si>
    <t>3º BIMESTRE</t>
  </si>
  <si>
    <t>JULHO</t>
  </si>
  <si>
    <t>AGOSTO</t>
  </si>
  <si>
    <t>4º BIMESTRE</t>
  </si>
  <si>
    <t>SETEMBRO</t>
  </si>
  <si>
    <t>OUTUBRO</t>
  </si>
  <si>
    <t>5º BIMESTRE</t>
  </si>
  <si>
    <t>NOVEMBRO</t>
  </si>
  <si>
    <t>DEZEMBRO</t>
  </si>
  <si>
    <t>6º BIMESTRE</t>
  </si>
  <si>
    <t>TOTAL</t>
  </si>
  <si>
    <t>Previsto</t>
  </si>
  <si>
    <t>Arrecadado</t>
  </si>
  <si>
    <t>Diferença</t>
  </si>
  <si>
    <t>RECEITAS CORRENTES</t>
  </si>
  <si>
    <t>RECEITA DE CONTRIBUIÇÃO</t>
  </si>
  <si>
    <t>RECEITA PATRIMONIAL</t>
  </si>
  <si>
    <t>RECEITA AGROPECUÁRIA</t>
  </si>
  <si>
    <t>RECEITA DE SERVIÇOS</t>
  </si>
  <si>
    <t>TRANSFERÊNCIAS CORRENTES</t>
  </si>
  <si>
    <t>OUTRAS RECEITAS CORRENTES</t>
  </si>
  <si>
    <t>RECEITAS DE CAPITAL</t>
  </si>
  <si>
    <t>OPERAÇÕES DE CRÉDITO</t>
  </si>
  <si>
    <t>ALIENAÇÃO DE BENS</t>
  </si>
  <si>
    <t>AMORT. DE EMPRÉSTIMOS</t>
  </si>
  <si>
    <t>TRANSFERÊNCIAS DE CAPITAL</t>
  </si>
  <si>
    <t>AMORT.  DE EMPRÉSTIMOS</t>
  </si>
  <si>
    <t>DEDUTORA FUNDEB</t>
  </si>
  <si>
    <t>DEDUÇÃO POR RENÚNCIA</t>
  </si>
  <si>
    <t>OUTRAS RECEITAS DE CAPITAL</t>
  </si>
  <si>
    <t>IMPOSTOS, TAXAS E CONTRIBUIÇÕES DE MELHORIA</t>
  </si>
  <si>
    <t>CONTRIBUIÇÕES</t>
  </si>
  <si>
    <t>ANEXO I – METAS DE ARRECADAÇÃO PARA O EXERCÍCIO 2021</t>
  </si>
  <si>
    <t>PROJEÇÃO PERCENTUAL DA ARRECADAÇÃO MENSAL – 2021</t>
  </si>
  <si>
    <t>Realizado</t>
  </si>
</sst>
</file>

<file path=xl/styles.xml><?xml version="1.0" encoding="utf-8"?>
<styleSheet xmlns="http://schemas.openxmlformats.org/spreadsheetml/2006/main">
  <numFmts count="9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_(* #,##0.00_);_(* \(#,##0.00\);_(* \-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Alignment="0" applyProtection="0"/>
    <xf numFmtId="0" fontId="29" fillId="21" borderId="5" applyNumberFormat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64" fontId="0" fillId="0" borderId="0" applyFill="0" applyAlignment="0" applyProtection="0"/>
  </cellStyleXfs>
  <cellXfs count="35">
    <xf numFmtId="0" fontId="0" fillId="0" borderId="0" xfId="0" applyAlignment="1">
      <alignment/>
    </xf>
    <xf numFmtId="4" fontId="18" fillId="0" borderId="0" xfId="60" applyNumberFormat="1" applyFont="1" applyFill="1" applyBorder="1" applyAlignment="1" applyProtection="1">
      <alignment vertical="center"/>
      <protection/>
    </xf>
    <xf numFmtId="4" fontId="19" fillId="0" borderId="0" xfId="60" applyNumberFormat="1" applyFont="1" applyFill="1" applyBorder="1" applyAlignment="1" applyProtection="1">
      <alignment vertical="center"/>
      <protection/>
    </xf>
    <xf numFmtId="164" fontId="19" fillId="33" borderId="10" xfId="6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vertical="center"/>
    </xf>
    <xf numFmtId="164" fontId="19" fillId="34" borderId="10" xfId="60" applyFont="1" applyFill="1" applyBorder="1" applyAlignment="1" applyProtection="1">
      <alignment horizontal="center" vertical="center" wrapText="1"/>
      <protection/>
    </xf>
    <xf numFmtId="164" fontId="19" fillId="33" borderId="10" xfId="60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>
      <alignment horizontal="center" vertical="center"/>
    </xf>
    <xf numFmtId="4" fontId="19" fillId="0" borderId="10" xfId="60" applyNumberFormat="1" applyFont="1" applyFill="1" applyBorder="1" applyAlignment="1" applyProtection="1">
      <alignment vertical="center"/>
      <protection/>
    </xf>
    <xf numFmtId="4" fontId="18" fillId="34" borderId="10" xfId="0" applyNumberFormat="1" applyFont="1" applyFill="1" applyBorder="1" applyAlignment="1">
      <alignment vertical="center"/>
    </xf>
    <xf numFmtId="4" fontId="19" fillId="34" borderId="10" xfId="0" applyNumberFormat="1" applyFont="1" applyFill="1" applyBorder="1" applyAlignment="1">
      <alignment vertical="center"/>
    </xf>
    <xf numFmtId="4" fontId="19" fillId="0" borderId="10" xfId="60" applyNumberFormat="1" applyFont="1" applyFill="1" applyBorder="1" applyAlignment="1" applyProtection="1">
      <alignment horizontal="right" vertical="center"/>
      <protection/>
    </xf>
    <xf numFmtId="4" fontId="18" fillId="0" borderId="10" xfId="60" applyNumberFormat="1" applyFont="1" applyFill="1" applyBorder="1" applyAlignment="1" applyProtection="1">
      <alignment vertical="center"/>
      <protection/>
    </xf>
    <xf numFmtId="4" fontId="18" fillId="0" borderId="10" xfId="0" applyNumberFormat="1" applyFont="1" applyBorder="1" applyAlignment="1">
      <alignment vertical="center"/>
    </xf>
    <xf numFmtId="4" fontId="18" fillId="0" borderId="10" xfId="60" applyNumberFormat="1" applyFont="1" applyFill="1" applyBorder="1" applyAlignment="1" applyProtection="1">
      <alignment horizontal="right" vertical="center"/>
      <protection/>
    </xf>
    <xf numFmtId="164" fontId="18" fillId="0" borderId="0" xfId="60" applyFont="1" applyFill="1" applyBorder="1" applyAlignment="1" applyProtection="1">
      <alignment vertical="center"/>
      <protection/>
    </xf>
    <xf numFmtId="10" fontId="19" fillId="0" borderId="10" xfId="49" applyNumberFormat="1" applyFont="1" applyFill="1" applyBorder="1" applyAlignment="1" applyProtection="1">
      <alignment vertical="center"/>
      <protection/>
    </xf>
    <xf numFmtId="10" fontId="19" fillId="34" borderId="10" xfId="49" applyNumberFormat="1" applyFont="1" applyFill="1" applyBorder="1" applyAlignment="1" applyProtection="1">
      <alignment vertical="center"/>
      <protection/>
    </xf>
    <xf numFmtId="10" fontId="19" fillId="0" borderId="0" xfId="49" applyNumberFormat="1" applyFont="1" applyFill="1" applyBorder="1" applyAlignment="1" applyProtection="1">
      <alignment vertical="center"/>
      <protection/>
    </xf>
    <xf numFmtId="10" fontId="18" fillId="0" borderId="10" xfId="49" applyNumberFormat="1" applyFont="1" applyFill="1" applyBorder="1" applyAlignment="1" applyProtection="1">
      <alignment vertical="center"/>
      <protection/>
    </xf>
    <xf numFmtId="10" fontId="18" fillId="34" borderId="10" xfId="49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10" fontId="18" fillId="0" borderId="0" xfId="49" applyNumberFormat="1" applyFont="1" applyFill="1" applyBorder="1" applyAlignment="1" applyProtection="1">
      <alignment vertical="center"/>
      <protection/>
    </xf>
    <xf numFmtId="0" fontId="18" fillId="0" borderId="0" xfId="0" applyFont="1" applyBorder="1" applyAlignment="1">
      <alignment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4" fontId="18" fillId="0" borderId="10" xfId="6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Border="1" applyAlignment="1">
      <alignment/>
    </xf>
    <xf numFmtId="164" fontId="19" fillId="34" borderId="13" xfId="60" applyFont="1" applyFill="1" applyBorder="1" applyAlignment="1" applyProtection="1">
      <alignment horizontal="center" vertical="center"/>
      <protection/>
    </xf>
    <xf numFmtId="164" fontId="19" fillId="34" borderId="11" xfId="60" applyFont="1" applyFill="1" applyBorder="1" applyAlignment="1" applyProtection="1">
      <alignment horizontal="center" vertical="center"/>
      <protection/>
    </xf>
    <xf numFmtId="164" fontId="19" fillId="34" borderId="12" xfId="60" applyFont="1" applyFill="1" applyBorder="1" applyAlignment="1" applyProtection="1">
      <alignment horizontal="center" vertical="center"/>
      <protection/>
    </xf>
    <xf numFmtId="164" fontId="19" fillId="34" borderId="10" xfId="60" applyFont="1" applyFill="1" applyBorder="1" applyAlignment="1" applyProtection="1">
      <alignment horizontal="center" vertical="center" wrapText="1"/>
      <protection/>
    </xf>
    <xf numFmtId="164" fontId="18" fillId="0" borderId="0" xfId="60" applyFont="1" applyFill="1" applyBorder="1" applyAlignment="1" applyProtection="1">
      <alignment vertical="center"/>
      <protection/>
    </xf>
    <xf numFmtId="164" fontId="19" fillId="34" borderId="10" xfId="6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6"/>
  <sheetViews>
    <sheetView tabSelected="1"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4" sqref="K4:L4"/>
    </sheetView>
  </sheetViews>
  <sheetFormatPr defaultColWidth="17.421875" defaultRowHeight="12.75"/>
  <cols>
    <col min="1" max="1" width="22.421875" style="23" customWidth="1"/>
    <col min="2" max="19" width="11.00390625" style="23" customWidth="1"/>
    <col min="20" max="20" width="12.00390625" style="23" customWidth="1"/>
    <col min="21" max="22" width="8.8515625" style="23" hidden="1" customWidth="1"/>
    <col min="23" max="16384" width="17.421875" style="23" customWidth="1"/>
  </cols>
  <sheetData>
    <row r="2" spans="1:22" s="4" customFormat="1" ht="12.75" customHeight="1">
      <c r="A2" s="34" t="s">
        <v>0</v>
      </c>
      <c r="B2" s="29" t="s">
        <v>41</v>
      </c>
      <c r="C2" s="30"/>
      <c r="D2" s="30"/>
      <c r="E2" s="30"/>
      <c r="F2" s="30"/>
      <c r="G2" s="30"/>
      <c r="H2" s="30"/>
      <c r="I2" s="30"/>
      <c r="J2" s="30"/>
      <c r="K2" s="29" t="s">
        <v>41</v>
      </c>
      <c r="L2" s="30"/>
      <c r="M2" s="30"/>
      <c r="N2" s="30"/>
      <c r="O2" s="30"/>
      <c r="P2" s="30"/>
      <c r="Q2" s="30"/>
      <c r="R2" s="30"/>
      <c r="S2" s="30"/>
      <c r="T2" s="31"/>
      <c r="U2" s="3"/>
      <c r="V2" s="3"/>
    </row>
    <row r="3" spans="1:22" s="4" customFormat="1" ht="12.75" customHeight="1">
      <c r="A3" s="34"/>
      <c r="B3" s="5" t="s">
        <v>1</v>
      </c>
      <c r="C3" s="5" t="s">
        <v>2</v>
      </c>
      <c r="D3" s="32" t="s">
        <v>3</v>
      </c>
      <c r="E3" s="5" t="s">
        <v>4</v>
      </c>
      <c r="F3" s="5" t="s">
        <v>5</v>
      </c>
      <c r="G3" s="32" t="s">
        <v>6</v>
      </c>
      <c r="H3" s="5" t="s">
        <v>7</v>
      </c>
      <c r="I3" s="5" t="s">
        <v>8</v>
      </c>
      <c r="J3" s="32" t="s">
        <v>9</v>
      </c>
      <c r="K3" s="5" t="s">
        <v>10</v>
      </c>
      <c r="L3" s="5" t="s">
        <v>11</v>
      </c>
      <c r="M3" s="32" t="s">
        <v>12</v>
      </c>
      <c r="N3" s="5" t="s">
        <v>13</v>
      </c>
      <c r="O3" s="5" t="s">
        <v>14</v>
      </c>
      <c r="P3" s="32" t="s">
        <v>15</v>
      </c>
      <c r="Q3" s="5" t="s">
        <v>16</v>
      </c>
      <c r="R3" s="5" t="s">
        <v>17</v>
      </c>
      <c r="S3" s="32" t="s">
        <v>18</v>
      </c>
      <c r="T3" s="26" t="s">
        <v>19</v>
      </c>
      <c r="U3" s="24"/>
      <c r="V3" s="25"/>
    </row>
    <row r="4" spans="1:22" s="4" customFormat="1" ht="12.75" customHeight="1">
      <c r="A4" s="34"/>
      <c r="B4" s="6" t="s">
        <v>43</v>
      </c>
      <c r="C4" s="6" t="s">
        <v>43</v>
      </c>
      <c r="D4" s="32"/>
      <c r="E4" s="6" t="s">
        <v>43</v>
      </c>
      <c r="F4" s="6" t="s">
        <v>43</v>
      </c>
      <c r="G4" s="32"/>
      <c r="H4" s="6" t="s">
        <v>43</v>
      </c>
      <c r="I4" s="6" t="s">
        <v>43</v>
      </c>
      <c r="J4" s="32"/>
      <c r="K4" s="6" t="s">
        <v>43</v>
      </c>
      <c r="L4" s="6" t="s">
        <v>43</v>
      </c>
      <c r="M4" s="32"/>
      <c r="N4" s="6" t="s">
        <v>20</v>
      </c>
      <c r="O4" s="6" t="s">
        <v>20</v>
      </c>
      <c r="P4" s="32"/>
      <c r="Q4" s="6" t="s">
        <v>20</v>
      </c>
      <c r="R4" s="6" t="s">
        <v>20</v>
      </c>
      <c r="S4" s="32"/>
      <c r="T4" s="6" t="s">
        <v>20</v>
      </c>
      <c r="U4" s="6" t="s">
        <v>21</v>
      </c>
      <c r="V4" s="7" t="s">
        <v>22</v>
      </c>
    </row>
    <row r="5" spans="1:22" s="2" customFormat="1" ht="18" customHeight="1">
      <c r="A5" s="8" t="s">
        <v>23</v>
      </c>
      <c r="B5" s="8">
        <f aca="true" t="shared" si="0" ref="B5:S5">SUM(B6+B7+B8+B9+B10+B11+B12)</f>
        <v>93713064.84</v>
      </c>
      <c r="C5" s="8">
        <f t="shared" si="0"/>
        <v>53399427.220000006</v>
      </c>
      <c r="D5" s="9">
        <f t="shared" si="0"/>
        <v>147112492.06</v>
      </c>
      <c r="E5" s="8">
        <f t="shared" si="0"/>
        <v>58077231.96</v>
      </c>
      <c r="F5" s="8">
        <f t="shared" si="0"/>
        <v>60379174.68</v>
      </c>
      <c r="G5" s="10">
        <f t="shared" si="0"/>
        <v>118456406.63999999</v>
      </c>
      <c r="H5" s="8">
        <f t="shared" si="0"/>
        <v>59776078.72</v>
      </c>
      <c r="I5" s="8">
        <f t="shared" si="0"/>
        <v>53251895.65</v>
      </c>
      <c r="J5" s="10">
        <f t="shared" si="0"/>
        <v>113027974.37</v>
      </c>
      <c r="K5" s="8">
        <f t="shared" si="0"/>
        <v>68576030.71000001</v>
      </c>
      <c r="L5" s="8">
        <f t="shared" si="0"/>
        <v>58740764.12</v>
      </c>
      <c r="M5" s="10">
        <f t="shared" si="0"/>
        <v>127316794.83</v>
      </c>
      <c r="N5" s="8">
        <f t="shared" si="0"/>
        <v>51332530.129999995</v>
      </c>
      <c r="O5" s="8">
        <f t="shared" si="0"/>
        <v>46439117.300000004</v>
      </c>
      <c r="P5" s="10">
        <f t="shared" si="0"/>
        <v>97771647.43</v>
      </c>
      <c r="Q5" s="8">
        <f t="shared" si="0"/>
        <v>47333897.940000005</v>
      </c>
      <c r="R5" s="8">
        <f t="shared" si="0"/>
        <v>70172202.38</v>
      </c>
      <c r="S5" s="10">
        <f t="shared" si="0"/>
        <v>117506100.32</v>
      </c>
      <c r="T5" s="8">
        <f>SUM(T6+T7+T8+T9+T10+T11+T12)</f>
        <v>721191415.65</v>
      </c>
      <c r="U5" s="8">
        <f>SUM(U6:U12)</f>
        <v>1324876730.98</v>
      </c>
      <c r="V5" s="11">
        <f aca="true" t="shared" si="1" ref="V5:V20">U5-T5</f>
        <v>603685315.33</v>
      </c>
    </row>
    <row r="6" spans="1:22" s="1" customFormat="1" ht="24.75" customHeight="1">
      <c r="A6" s="27" t="s">
        <v>39</v>
      </c>
      <c r="B6" s="13">
        <f>48572486.72-8368.39-338.61</f>
        <v>48563779.72</v>
      </c>
      <c r="C6" s="13">
        <f>16110816.49-38780.57-121.89</f>
        <v>16071914.03</v>
      </c>
      <c r="D6" s="9">
        <f>SUM(B6:C6)</f>
        <v>64635693.75</v>
      </c>
      <c r="E6" s="13">
        <f>17442428.12-58043.73-845.01</f>
        <v>17383539.38</v>
      </c>
      <c r="F6" s="13">
        <f>15087229.89-36175.64-1535.39</f>
        <v>15049518.86</v>
      </c>
      <c r="G6" s="9">
        <f aca="true" t="shared" si="2" ref="G6:G12">SUM(E6:F6)</f>
        <v>32433058.24</v>
      </c>
      <c r="H6" s="13">
        <f>16488935.29-49596.35-654.03</f>
        <v>16438684.91</v>
      </c>
      <c r="I6" s="13">
        <f>15862611.43-23019.54-790.52</f>
        <v>15838801.370000001</v>
      </c>
      <c r="J6" s="9">
        <f aca="true" t="shared" si="3" ref="J6:J12">SUM(H6:I6)</f>
        <v>32277486.28</v>
      </c>
      <c r="K6" s="13">
        <f>17696450.25-38108.67</f>
        <v>17658341.58</v>
      </c>
      <c r="L6" s="13">
        <f>17568065.55-15132.42</f>
        <v>17552933.13</v>
      </c>
      <c r="M6" s="9">
        <f aca="true" t="shared" si="4" ref="M6:M12">SUM(K6:L6)</f>
        <v>35211274.70999999</v>
      </c>
      <c r="N6" s="13">
        <v>18074322.28</v>
      </c>
      <c r="O6" s="13">
        <v>16351338.48</v>
      </c>
      <c r="P6" s="9">
        <f aca="true" t="shared" si="5" ref="P6:P12">SUM(N6:O6)</f>
        <v>34425660.760000005</v>
      </c>
      <c r="Q6" s="13">
        <v>16666393.19</v>
      </c>
      <c r="R6" s="13">
        <v>24707821.72</v>
      </c>
      <c r="S6" s="9">
        <f aca="true" t="shared" si="6" ref="S6:S11">SUM(Q6:R6)</f>
        <v>41374214.91</v>
      </c>
      <c r="T6" s="12">
        <f aca="true" t="shared" si="7" ref="T6:T12">D6+G6+J6+M6+P6+S6</f>
        <v>240357388.65</v>
      </c>
      <c r="U6" s="12">
        <f aca="true" t="shared" si="8" ref="U6:U20">SUM(B6:R6)</f>
        <v>439340562.39</v>
      </c>
      <c r="V6" s="14">
        <f t="shared" si="1"/>
        <v>198983173.73999998</v>
      </c>
    </row>
    <row r="7" spans="1:22" s="1" customFormat="1" ht="12.75" customHeight="1">
      <c r="A7" s="27" t="s">
        <v>40</v>
      </c>
      <c r="B7" s="13">
        <f>1148882.05-7.26</f>
        <v>1148874.79</v>
      </c>
      <c r="C7" s="13">
        <f>897178.96</f>
        <v>897178.96</v>
      </c>
      <c r="D7" s="9">
        <f aca="true" t="shared" si="9" ref="D7:D12">SUM(B7:C7)</f>
        <v>2046053.75</v>
      </c>
      <c r="E7" s="13">
        <v>903151.3</v>
      </c>
      <c r="F7" s="13">
        <v>920106.16</v>
      </c>
      <c r="G7" s="9">
        <f t="shared" si="2"/>
        <v>1823257.46</v>
      </c>
      <c r="H7" s="13">
        <v>902570.7</v>
      </c>
      <c r="I7" s="13">
        <v>834174.35</v>
      </c>
      <c r="J7" s="9">
        <f t="shared" si="3"/>
        <v>1736745.0499999998</v>
      </c>
      <c r="K7" s="13">
        <f>838078.22</f>
        <v>838078.22</v>
      </c>
      <c r="L7" s="13">
        <f>868010.98</f>
        <v>868010.98</v>
      </c>
      <c r="M7" s="9">
        <f t="shared" si="4"/>
        <v>1706089.2</v>
      </c>
      <c r="N7" s="13">
        <v>778389.61</v>
      </c>
      <c r="O7" s="13">
        <v>704187.51</v>
      </c>
      <c r="P7" s="9">
        <f t="shared" si="5"/>
        <v>1482577.12</v>
      </c>
      <c r="Q7" s="13">
        <v>717755.67</v>
      </c>
      <c r="R7" s="13">
        <v>1064068.2</v>
      </c>
      <c r="S7" s="9">
        <f t="shared" si="6"/>
        <v>1781823.87</v>
      </c>
      <c r="T7" s="12">
        <f t="shared" si="7"/>
        <v>10576546.45</v>
      </c>
      <c r="U7" s="12">
        <f t="shared" si="8"/>
        <v>19371269.03</v>
      </c>
      <c r="V7" s="14">
        <f t="shared" si="1"/>
        <v>8794722.580000002</v>
      </c>
    </row>
    <row r="8" spans="1:22" s="1" customFormat="1" ht="12.75" customHeight="1">
      <c r="A8" s="12" t="s">
        <v>25</v>
      </c>
      <c r="B8" s="13">
        <f>458766.88-4836.07</f>
        <v>453930.81</v>
      </c>
      <c r="C8" s="13">
        <f>723756.88-500679.78</f>
        <v>223077.09999999998</v>
      </c>
      <c r="D8" s="9">
        <f t="shared" si="9"/>
        <v>677007.9099999999</v>
      </c>
      <c r="E8" s="13">
        <f>404207.25-385.15</f>
        <v>403822.1</v>
      </c>
      <c r="F8" s="13">
        <f>448715.84-106.74</f>
        <v>448609.10000000003</v>
      </c>
      <c r="G8" s="9">
        <f t="shared" si="2"/>
        <v>852431.2</v>
      </c>
      <c r="H8" s="13">
        <v>621096.07</v>
      </c>
      <c r="I8" s="13">
        <f>3070801.32-2398179.43</f>
        <v>672621.8899999997</v>
      </c>
      <c r="J8" s="9">
        <f t="shared" si="3"/>
        <v>1293717.9599999995</v>
      </c>
      <c r="K8" s="13">
        <f>942628.13-107.94</f>
        <v>942520.1900000001</v>
      </c>
      <c r="L8" s="13">
        <f>-1872543.04+2897030.49</f>
        <v>1024487.4500000002</v>
      </c>
      <c r="M8" s="9">
        <f t="shared" si="4"/>
        <v>1967007.6400000001</v>
      </c>
      <c r="N8" s="13">
        <v>464222.91</v>
      </c>
      <c r="O8" s="13">
        <v>419969.61</v>
      </c>
      <c r="P8" s="9">
        <f t="shared" si="5"/>
        <v>884192.52</v>
      </c>
      <c r="Q8" s="13">
        <v>428061.53</v>
      </c>
      <c r="R8" s="13">
        <v>634598.54</v>
      </c>
      <c r="S8" s="9">
        <f t="shared" si="6"/>
        <v>1062660.07</v>
      </c>
      <c r="T8" s="12">
        <f t="shared" si="7"/>
        <v>6737017.299999999</v>
      </c>
      <c r="U8" s="12">
        <f t="shared" si="8"/>
        <v>12411374.529999997</v>
      </c>
      <c r="V8" s="14">
        <f t="shared" si="1"/>
        <v>5674357.229999999</v>
      </c>
    </row>
    <row r="9" spans="1:22" s="1" customFormat="1" ht="18.75" customHeight="1" hidden="1">
      <c r="A9" s="12" t="s">
        <v>26</v>
      </c>
      <c r="B9" s="13">
        <v>0</v>
      </c>
      <c r="C9" s="13"/>
      <c r="D9" s="9">
        <f t="shared" si="9"/>
        <v>0</v>
      </c>
      <c r="E9" s="13"/>
      <c r="F9" s="13"/>
      <c r="G9" s="9">
        <f t="shared" si="2"/>
        <v>0</v>
      </c>
      <c r="H9" s="13"/>
      <c r="I9" s="13"/>
      <c r="J9" s="9">
        <f t="shared" si="3"/>
        <v>0</v>
      </c>
      <c r="K9" s="13"/>
      <c r="L9" s="13"/>
      <c r="M9" s="9">
        <f t="shared" si="4"/>
        <v>0</v>
      </c>
      <c r="N9" s="13"/>
      <c r="O9" s="13"/>
      <c r="P9" s="9">
        <f t="shared" si="5"/>
        <v>0</v>
      </c>
      <c r="Q9" s="13"/>
      <c r="R9" s="13"/>
      <c r="S9" s="9">
        <f t="shared" si="6"/>
        <v>0</v>
      </c>
      <c r="T9" s="12">
        <f t="shared" si="7"/>
        <v>0</v>
      </c>
      <c r="U9" s="12">
        <f t="shared" si="8"/>
        <v>0</v>
      </c>
      <c r="V9" s="14">
        <f t="shared" si="1"/>
        <v>0</v>
      </c>
    </row>
    <row r="10" spans="1:22" s="1" customFormat="1" ht="12.75" customHeight="1">
      <c r="A10" s="12" t="s">
        <v>27</v>
      </c>
      <c r="B10" s="13">
        <v>1039.65</v>
      </c>
      <c r="C10" s="13">
        <v>3696.19</v>
      </c>
      <c r="D10" s="9">
        <f t="shared" si="9"/>
        <v>4735.84</v>
      </c>
      <c r="E10" s="13">
        <v>45.15</v>
      </c>
      <c r="F10" s="13">
        <v>629.83</v>
      </c>
      <c r="G10" s="9">
        <f t="shared" si="2"/>
        <v>674.98</v>
      </c>
      <c r="H10" s="13">
        <v>2045.75</v>
      </c>
      <c r="I10" s="13">
        <v>175.34</v>
      </c>
      <c r="J10" s="9">
        <f t="shared" si="3"/>
        <v>2221.09</v>
      </c>
      <c r="K10" s="13">
        <f>978.81</f>
        <v>978.81</v>
      </c>
      <c r="L10" s="13">
        <f>171.02</f>
        <v>171.02</v>
      </c>
      <c r="M10" s="9">
        <f t="shared" si="4"/>
        <v>1149.83</v>
      </c>
      <c r="N10" s="13">
        <v>237.51</v>
      </c>
      <c r="O10" s="13">
        <v>214.87</v>
      </c>
      <c r="P10" s="9">
        <f t="shared" si="5"/>
        <v>452.38</v>
      </c>
      <c r="Q10" s="13">
        <v>219.01</v>
      </c>
      <c r="R10" s="13">
        <v>324.68</v>
      </c>
      <c r="S10" s="9">
        <f>SUM(Q10:R10)</f>
        <v>543.69</v>
      </c>
      <c r="T10" s="12">
        <f>D10+G10+J10+M10+P10+S10</f>
        <v>9777.81</v>
      </c>
      <c r="U10" s="12">
        <f t="shared" si="8"/>
        <v>19011.929999999993</v>
      </c>
      <c r="V10" s="14">
        <f t="shared" si="1"/>
        <v>9234.119999999994</v>
      </c>
    </row>
    <row r="11" spans="1:22" s="1" customFormat="1" ht="12.75" customHeight="1">
      <c r="A11" s="12" t="s">
        <v>28</v>
      </c>
      <c r="B11" s="13">
        <f>43300027.84</f>
        <v>43300027.84</v>
      </c>
      <c r="C11" s="13">
        <f>35968436.54-66195.19</f>
        <v>35902241.35</v>
      </c>
      <c r="D11" s="9">
        <f t="shared" si="9"/>
        <v>79202269.19</v>
      </c>
      <c r="E11" s="13">
        <v>39044485.39</v>
      </c>
      <c r="F11" s="13">
        <v>43506051.74</v>
      </c>
      <c r="G11" s="9">
        <f t="shared" si="2"/>
        <v>82550537.13</v>
      </c>
      <c r="H11" s="13">
        <v>40308424.3</v>
      </c>
      <c r="I11" s="13">
        <f>35445550.02-11884.11</f>
        <v>35433665.910000004</v>
      </c>
      <c r="J11" s="9">
        <f t="shared" si="3"/>
        <v>75742090.21000001</v>
      </c>
      <c r="K11" s="13">
        <f>48816661.51</f>
        <v>48816661.51</v>
      </c>
      <c r="L11" s="13">
        <f>38867929.49</f>
        <v>38867929.49</v>
      </c>
      <c r="M11" s="9">
        <f t="shared" si="4"/>
        <v>87684591</v>
      </c>
      <c r="N11" s="13">
        <v>31349902.77</v>
      </c>
      <c r="O11" s="13">
        <v>28361388.1</v>
      </c>
      <c r="P11" s="9">
        <f t="shared" si="5"/>
        <v>59711290.870000005</v>
      </c>
      <c r="Q11" s="13">
        <v>28907850.22</v>
      </c>
      <c r="R11" s="13">
        <v>42855703.97</v>
      </c>
      <c r="S11" s="9">
        <f t="shared" si="6"/>
        <v>71763554.19</v>
      </c>
      <c r="T11" s="12">
        <f t="shared" si="7"/>
        <v>456654332.59</v>
      </c>
      <c r="U11" s="12">
        <f t="shared" si="8"/>
        <v>841545110.9900001</v>
      </c>
      <c r="V11" s="14">
        <f t="shared" si="1"/>
        <v>384890778.40000015</v>
      </c>
    </row>
    <row r="12" spans="1:22" s="1" customFormat="1" ht="12.75" customHeight="1">
      <c r="A12" s="12" t="s">
        <v>29</v>
      </c>
      <c r="B12" s="13">
        <f>245736.73-324.7</f>
        <v>245412.03</v>
      </c>
      <c r="C12" s="13">
        <f>302301.19-981.6</f>
        <v>301319.59</v>
      </c>
      <c r="D12" s="9">
        <f t="shared" si="9"/>
        <v>546731.62</v>
      </c>
      <c r="E12" s="13">
        <f>380257.47-38068.83</f>
        <v>342188.63999999996</v>
      </c>
      <c r="F12" s="13">
        <f>455311.49-1052.5</f>
        <v>454258.99</v>
      </c>
      <c r="G12" s="9">
        <f t="shared" si="2"/>
        <v>796447.6299999999</v>
      </c>
      <c r="H12" s="13">
        <f>1506239.78-2982.79</f>
        <v>1503256.99</v>
      </c>
      <c r="I12" s="13">
        <f>474779.67-2322.88</f>
        <v>472456.79</v>
      </c>
      <c r="J12" s="9">
        <f t="shared" si="3"/>
        <v>1975713.78</v>
      </c>
      <c r="K12" s="13">
        <f>321832.58-2382.18</f>
        <v>319450.4</v>
      </c>
      <c r="L12" s="13">
        <f>428395.9-1163.85</f>
        <v>427232.05000000005</v>
      </c>
      <c r="M12" s="9">
        <f t="shared" si="4"/>
        <v>746682.4500000001</v>
      </c>
      <c r="N12" s="13">
        <v>665455.05</v>
      </c>
      <c r="O12" s="13">
        <v>602018.73</v>
      </c>
      <c r="P12" s="9">
        <f t="shared" si="5"/>
        <v>1267473.78</v>
      </c>
      <c r="Q12" s="13">
        <v>613618.32</v>
      </c>
      <c r="R12" s="13">
        <v>909685.27</v>
      </c>
      <c r="S12" s="9">
        <f>SUM(Q12:R12)</f>
        <v>1523303.5899999999</v>
      </c>
      <c r="T12" s="12">
        <f t="shared" si="7"/>
        <v>6856352.850000001</v>
      </c>
      <c r="U12" s="12">
        <f t="shared" si="8"/>
        <v>12189402.110000001</v>
      </c>
      <c r="V12" s="14">
        <f t="shared" si="1"/>
        <v>5333049.260000001</v>
      </c>
    </row>
    <row r="13" spans="1:22" s="1" customFormat="1" ht="12.75" customHeight="1">
      <c r="A13" s="8" t="s">
        <v>30</v>
      </c>
      <c r="B13" s="8">
        <f>SUM(B14:B17)</f>
        <v>383767.53</v>
      </c>
      <c r="C13" s="8">
        <f>SUM(C14:C17)</f>
        <v>27153.67</v>
      </c>
      <c r="D13" s="10">
        <f>D15+D16+D14+D17</f>
        <v>410921.19999999995</v>
      </c>
      <c r="E13" s="8">
        <f>SUM(E14:E17)</f>
        <v>1311556.48</v>
      </c>
      <c r="F13" s="8">
        <f>SUM(F14:F17)</f>
        <v>1436712.23</v>
      </c>
      <c r="G13" s="10">
        <f>G15+G16+G14+G17+G18</f>
        <v>2748268.71</v>
      </c>
      <c r="H13" s="8">
        <f>SUM(H14:H17)</f>
        <v>2191794.63</v>
      </c>
      <c r="I13" s="8">
        <f>SUM(I14:I17)</f>
        <v>2273703.26</v>
      </c>
      <c r="J13" s="10">
        <f>J15+J16+J14+J17+J18</f>
        <v>4465497.89</v>
      </c>
      <c r="K13" s="8">
        <f>SUM(K14:K17)</f>
        <v>1320621.52</v>
      </c>
      <c r="L13" s="8">
        <f>SUM(L14:L17)</f>
        <v>1557632.0499999998</v>
      </c>
      <c r="M13" s="10">
        <f>M15+M16+M14+M17</f>
        <v>2878253.57</v>
      </c>
      <c r="N13" s="8">
        <f>SUM(N14:N17)</f>
        <v>5598072.01</v>
      </c>
      <c r="O13" s="8">
        <f>SUM(O14:O17)</f>
        <v>5064420.57</v>
      </c>
      <c r="P13" s="10">
        <f>P15+P16+P14+P17</f>
        <v>10662492.58</v>
      </c>
      <c r="Q13" s="8">
        <f>SUM(Q14:Q17)</f>
        <v>5162000.94171</v>
      </c>
      <c r="R13" s="8">
        <f>SUM(R14:R17)</f>
        <v>7652633.512014</v>
      </c>
      <c r="S13" s="10">
        <f>S15+S16+S14+S17</f>
        <v>12814634.453724</v>
      </c>
      <c r="T13" s="8">
        <f>T14+T15+T16+T17</f>
        <v>33980068.403724</v>
      </c>
      <c r="U13" s="8">
        <f t="shared" si="8"/>
        <v>55145502.353724</v>
      </c>
      <c r="V13" s="11">
        <f t="shared" si="1"/>
        <v>21165433.950000003</v>
      </c>
    </row>
    <row r="14" spans="1:22" s="1" customFormat="1" ht="12.75" customHeight="1">
      <c r="A14" s="12" t="s">
        <v>31</v>
      </c>
      <c r="B14" s="12">
        <v>318247.45</v>
      </c>
      <c r="C14" s="14">
        <v>21981.78</v>
      </c>
      <c r="D14" s="9">
        <f aca="true" t="shared" si="10" ref="D14:D20">SUM(B14:C14)</f>
        <v>340229.23</v>
      </c>
      <c r="E14" s="12">
        <v>315220.23</v>
      </c>
      <c r="F14" s="12">
        <v>416679.9</v>
      </c>
      <c r="G14" s="9">
        <f aca="true" t="shared" si="11" ref="G14:G20">SUM(E14:F14)</f>
        <v>731900.13</v>
      </c>
      <c r="H14" s="12">
        <v>2000000</v>
      </c>
      <c r="I14" s="12">
        <v>1500000</v>
      </c>
      <c r="J14" s="9">
        <f aca="true" t="shared" si="12" ref="J14:J20">SUM(H14:I14)</f>
        <v>3500000</v>
      </c>
      <c r="K14" s="12">
        <v>0</v>
      </c>
      <c r="L14" s="12">
        <v>500000</v>
      </c>
      <c r="M14" s="9">
        <f aca="true" t="shared" si="13" ref="M14:M20">SUM(K14:L14)</f>
        <v>500000</v>
      </c>
      <c r="N14" s="12">
        <v>1502805.96</v>
      </c>
      <c r="O14" s="12">
        <v>1358597.31</v>
      </c>
      <c r="P14" s="9">
        <f aca="true" t="shared" si="14" ref="P14:P20">SUM(N14:O14)</f>
        <v>2861403.27</v>
      </c>
      <c r="Q14" s="12">
        <v>1385162.06221</v>
      </c>
      <c r="R14" s="12">
        <v>2053075.823714</v>
      </c>
      <c r="S14" s="9">
        <f>SUM(Q14:R14)</f>
        <v>3438237.885924</v>
      </c>
      <c r="T14" s="12">
        <f>D14+G14+J14+M14+P14+S14</f>
        <v>11371770.515924</v>
      </c>
      <c r="U14" s="12">
        <f t="shared" si="8"/>
        <v>19305303.145924</v>
      </c>
      <c r="V14" s="14">
        <f t="shared" si="1"/>
        <v>7933532.629999999</v>
      </c>
    </row>
    <row r="15" spans="1:22" s="1" customFormat="1" ht="12.75" customHeight="1">
      <c r="A15" s="12" t="s">
        <v>32</v>
      </c>
      <c r="B15" s="12">
        <v>50273.51</v>
      </c>
      <c r="C15" s="14">
        <v>5038.43</v>
      </c>
      <c r="D15" s="9">
        <f t="shared" si="10"/>
        <v>55311.94</v>
      </c>
      <c r="E15" s="12">
        <v>2392.03</v>
      </c>
      <c r="F15" s="12">
        <v>3456.03</v>
      </c>
      <c r="G15" s="9">
        <f t="shared" si="11"/>
        <v>5848.06</v>
      </c>
      <c r="H15" s="12">
        <v>3523.89</v>
      </c>
      <c r="I15" s="12">
        <v>2705.19</v>
      </c>
      <c r="J15" s="9">
        <f t="shared" si="12"/>
        <v>6229.08</v>
      </c>
      <c r="K15" s="12">
        <f>3591.75</f>
        <v>3591.75</v>
      </c>
      <c r="L15" s="12">
        <v>3339.19</v>
      </c>
      <c r="M15" s="9">
        <f t="shared" si="13"/>
        <v>6930.9400000000005</v>
      </c>
      <c r="N15" s="12">
        <f>1219980.96-2192</f>
        <v>1217788.96</v>
      </c>
      <c r="O15" s="12">
        <f>1102912.08+1555.62</f>
        <v>1104467.7000000002</v>
      </c>
      <c r="P15" s="9">
        <f t="shared" si="14"/>
        <v>2322256.66</v>
      </c>
      <c r="Q15" s="12">
        <f>1124477.4+141.43</f>
        <v>1124618.8299999998</v>
      </c>
      <c r="R15" s="12">
        <f>1666691.16+1767.77</f>
        <v>1668458.93</v>
      </c>
      <c r="S15" s="9">
        <f aca="true" t="shared" si="15" ref="S15:S21">SUM(Q15:R15)</f>
        <v>2793077.76</v>
      </c>
      <c r="T15" s="12">
        <f aca="true" t="shared" si="16" ref="T15:T20">D15+G15+J15+M15+P15+S15</f>
        <v>5189654.4399999995</v>
      </c>
      <c r="U15" s="12">
        <f t="shared" si="8"/>
        <v>7586231.12</v>
      </c>
      <c r="V15" s="14">
        <f t="shared" si="1"/>
        <v>2396576.6800000006</v>
      </c>
    </row>
    <row r="16" spans="1:22" s="1" customFormat="1" ht="12.75" customHeight="1">
      <c r="A16" s="12" t="s">
        <v>33</v>
      </c>
      <c r="B16" s="12">
        <v>11897.57</v>
      </c>
      <c r="C16" s="12">
        <v>133.46</v>
      </c>
      <c r="D16" s="9">
        <f t="shared" si="10"/>
        <v>12031.029999999999</v>
      </c>
      <c r="E16" s="12">
        <v>0</v>
      </c>
      <c r="F16" s="12">
        <v>266.92</v>
      </c>
      <c r="G16" s="9">
        <f t="shared" si="11"/>
        <v>266.92</v>
      </c>
      <c r="H16" s="12">
        <v>2946.47</v>
      </c>
      <c r="I16" s="12">
        <v>4075.46</v>
      </c>
      <c r="J16" s="9">
        <f t="shared" si="12"/>
        <v>7021.93</v>
      </c>
      <c r="K16" s="12">
        <f>6571.79</f>
        <v>6571.79</v>
      </c>
      <c r="L16" s="12">
        <v>133.46</v>
      </c>
      <c r="M16" s="9">
        <f t="shared" si="13"/>
        <v>6705.25</v>
      </c>
      <c r="N16" s="12">
        <v>2407.68</v>
      </c>
      <c r="O16" s="12">
        <v>2176.64</v>
      </c>
      <c r="P16" s="9">
        <f t="shared" si="14"/>
        <v>4584.32</v>
      </c>
      <c r="Q16" s="12">
        <v>2219.2</v>
      </c>
      <c r="R16" s="12">
        <v>3289.28</v>
      </c>
      <c r="S16" s="9">
        <f t="shared" si="15"/>
        <v>5508.48</v>
      </c>
      <c r="T16" s="12">
        <f t="shared" si="16"/>
        <v>36117.92999999999</v>
      </c>
      <c r="U16" s="12">
        <f t="shared" si="8"/>
        <v>66727.37999999999</v>
      </c>
      <c r="V16" s="14">
        <f t="shared" si="1"/>
        <v>30609.449999999997</v>
      </c>
    </row>
    <row r="17" spans="1:22" s="1" customFormat="1" ht="12.75" customHeight="1">
      <c r="A17" s="12" t="s">
        <v>34</v>
      </c>
      <c r="B17" s="12">
        <v>3349</v>
      </c>
      <c r="C17" s="12">
        <v>0</v>
      </c>
      <c r="D17" s="9">
        <f t="shared" si="10"/>
        <v>3349</v>
      </c>
      <c r="E17" s="12">
        <v>993944.22</v>
      </c>
      <c r="F17" s="12">
        <v>1016309.38</v>
      </c>
      <c r="G17" s="9">
        <f t="shared" si="11"/>
        <v>2010253.6</v>
      </c>
      <c r="H17" s="12">
        <v>185324.27</v>
      </c>
      <c r="I17" s="12">
        <v>766922.61</v>
      </c>
      <c r="J17" s="9">
        <f t="shared" si="12"/>
        <v>952246.88</v>
      </c>
      <c r="K17" s="12">
        <f>1310457.98</f>
        <v>1310457.98</v>
      </c>
      <c r="L17" s="12">
        <v>1054159.4</v>
      </c>
      <c r="M17" s="9">
        <f t="shared" si="13"/>
        <v>2364617.38</v>
      </c>
      <c r="N17" s="12">
        <v>2875069.41</v>
      </c>
      <c r="O17" s="12">
        <v>2599178.92</v>
      </c>
      <c r="P17" s="9">
        <f t="shared" si="14"/>
        <v>5474248.33</v>
      </c>
      <c r="Q17" s="12">
        <v>2650000.8495</v>
      </c>
      <c r="R17" s="12">
        <v>3927809.4783</v>
      </c>
      <c r="S17" s="9">
        <f t="shared" si="15"/>
        <v>6577810.3278</v>
      </c>
      <c r="T17" s="12">
        <f>D17+G17+J17+M17+P17+S17</f>
        <v>17382525.5178</v>
      </c>
      <c r="U17" s="12">
        <f t="shared" si="8"/>
        <v>28187240.7078</v>
      </c>
      <c r="V17" s="14">
        <f t="shared" si="1"/>
        <v>10804715.190000001</v>
      </c>
    </row>
    <row r="18" spans="1:22" s="1" customFormat="1" ht="18.75" customHeight="1" hidden="1">
      <c r="A18" s="12" t="s">
        <v>38</v>
      </c>
      <c r="B18" s="12">
        <v>0</v>
      </c>
      <c r="C18" s="12">
        <v>0</v>
      </c>
      <c r="D18" s="9">
        <f t="shared" si="10"/>
        <v>0</v>
      </c>
      <c r="E18" s="12">
        <v>0</v>
      </c>
      <c r="F18" s="12">
        <v>0</v>
      </c>
      <c r="G18" s="9">
        <f t="shared" si="11"/>
        <v>0</v>
      </c>
      <c r="H18" s="12">
        <v>0</v>
      </c>
      <c r="I18" s="12">
        <v>0</v>
      </c>
      <c r="J18" s="9">
        <f t="shared" si="12"/>
        <v>0</v>
      </c>
      <c r="K18" s="12">
        <v>0</v>
      </c>
      <c r="L18" s="12">
        <v>0</v>
      </c>
      <c r="M18" s="9">
        <f t="shared" si="13"/>
        <v>0</v>
      </c>
      <c r="N18" s="12">
        <v>0</v>
      </c>
      <c r="O18" s="12">
        <v>0</v>
      </c>
      <c r="P18" s="9">
        <f t="shared" si="14"/>
        <v>0</v>
      </c>
      <c r="Q18" s="12">
        <v>0</v>
      </c>
      <c r="R18" s="12">
        <v>0</v>
      </c>
      <c r="S18" s="9">
        <f t="shared" si="15"/>
        <v>0</v>
      </c>
      <c r="T18" s="12">
        <f>D18+G18+J18+M18+P18+S18</f>
        <v>0</v>
      </c>
      <c r="U18" s="12"/>
      <c r="V18" s="14"/>
    </row>
    <row r="19" spans="1:22" s="1" customFormat="1" ht="12.75" customHeight="1">
      <c r="A19" s="12" t="s">
        <v>36</v>
      </c>
      <c r="B19" s="12">
        <v>5134081.34</v>
      </c>
      <c r="C19" s="12">
        <v>4403729.75</v>
      </c>
      <c r="D19" s="9">
        <f t="shared" si="10"/>
        <v>9537811.09</v>
      </c>
      <c r="E19" s="12">
        <v>4472197.5</v>
      </c>
      <c r="F19" s="12">
        <v>5213371.14</v>
      </c>
      <c r="G19" s="9">
        <f t="shared" si="11"/>
        <v>9685568.64</v>
      </c>
      <c r="H19" s="12">
        <v>4665180.82</v>
      </c>
      <c r="I19" s="12">
        <v>4054715.4</v>
      </c>
      <c r="J19" s="9">
        <f t="shared" si="12"/>
        <v>8719896.22</v>
      </c>
      <c r="K19" s="12">
        <v>5035300.26</v>
      </c>
      <c r="L19" s="12">
        <v>4255623.5</v>
      </c>
      <c r="M19" s="9">
        <f t="shared" si="13"/>
        <v>9290923.76</v>
      </c>
      <c r="N19" s="12">
        <v>3596012.6399999997</v>
      </c>
      <c r="O19" s="12">
        <v>3250940.7199999997</v>
      </c>
      <c r="P19" s="9">
        <f t="shared" si="14"/>
        <v>6846953.359999999</v>
      </c>
      <c r="Q19" s="12">
        <v>3314506.5999999996</v>
      </c>
      <c r="R19" s="12">
        <v>4912734.44</v>
      </c>
      <c r="S19" s="9">
        <f t="shared" si="15"/>
        <v>8227241.04</v>
      </c>
      <c r="T19" s="12">
        <f t="shared" si="16"/>
        <v>52308394.11</v>
      </c>
      <c r="U19" s="12">
        <f t="shared" si="8"/>
        <v>96389547.17999999</v>
      </c>
      <c r="V19" s="14">
        <f t="shared" si="1"/>
        <v>44081153.06999999</v>
      </c>
    </row>
    <row r="20" spans="1:22" s="1" customFormat="1" ht="12.75" customHeight="1">
      <c r="A20" s="12" t="s">
        <v>37</v>
      </c>
      <c r="B20" s="12">
        <f>508423.99+2101853.76</f>
        <v>2610277.75</v>
      </c>
      <c r="C20" s="12">
        <f>71335.8</f>
        <v>71335.8</v>
      </c>
      <c r="D20" s="9">
        <f t="shared" si="10"/>
        <v>2681613.55</v>
      </c>
      <c r="E20" s="12">
        <v>65870.49</v>
      </c>
      <c r="F20" s="12">
        <v>46061.31</v>
      </c>
      <c r="G20" s="9">
        <f t="shared" si="11"/>
        <v>111931.8</v>
      </c>
      <c r="H20" s="12">
        <f>77089.11</f>
        <v>77089.11</v>
      </c>
      <c r="I20" s="12">
        <v>66398.17</v>
      </c>
      <c r="J20" s="9">
        <f t="shared" si="12"/>
        <v>143487.28</v>
      </c>
      <c r="K20" s="12">
        <v>87142.13</v>
      </c>
      <c r="L20" s="12">
        <v>99240.72</v>
      </c>
      <c r="M20" s="9">
        <f t="shared" si="13"/>
        <v>186382.85</v>
      </c>
      <c r="N20" s="12">
        <v>1179160.6100000003</v>
      </c>
      <c r="O20" s="12">
        <v>1069026.1500000004</v>
      </c>
      <c r="P20" s="9">
        <f t="shared" si="14"/>
        <v>2248186.7600000007</v>
      </c>
      <c r="Q20" s="12">
        <v>1088696.62</v>
      </c>
      <c r="R20" s="12">
        <v>1614986.3299999991</v>
      </c>
      <c r="S20" s="9">
        <f t="shared" si="15"/>
        <v>2703682.9499999993</v>
      </c>
      <c r="T20" s="12">
        <f t="shared" si="16"/>
        <v>8075285.1899999995</v>
      </c>
      <c r="U20" s="12">
        <f t="shared" si="8"/>
        <v>13446887.43</v>
      </c>
      <c r="V20" s="14">
        <f t="shared" si="1"/>
        <v>5371602.24</v>
      </c>
    </row>
    <row r="21" spans="1:24" s="2" customFormat="1" ht="12.75" customHeight="1">
      <c r="A21" s="8" t="s">
        <v>19</v>
      </c>
      <c r="B21" s="8">
        <f>B5+B13-B19-B20</f>
        <v>86352473.28</v>
      </c>
      <c r="C21" s="8">
        <f>C5+C13-C19-C20</f>
        <v>48951515.34000001</v>
      </c>
      <c r="D21" s="10">
        <f>D5+D13-D19-D20</f>
        <v>135303988.61999997</v>
      </c>
      <c r="E21" s="8">
        <f>E5+E13-E19-E20</f>
        <v>54850720.449999996</v>
      </c>
      <c r="F21" s="8">
        <f>F5+F13-F19-F20</f>
        <v>56556454.45999999</v>
      </c>
      <c r="G21" s="10">
        <f>SUM(E21:F21)</f>
        <v>111407174.91</v>
      </c>
      <c r="H21" s="8">
        <f>H5+H13-H19-H20</f>
        <v>57225603.42</v>
      </c>
      <c r="I21" s="8">
        <f>I5+I13-I19-I20</f>
        <v>51404485.339999996</v>
      </c>
      <c r="J21" s="10">
        <f>SUM(H21:I21)</f>
        <v>108630088.75999999</v>
      </c>
      <c r="K21" s="8">
        <f>K5+K13-K19-K20</f>
        <v>64774209.84</v>
      </c>
      <c r="L21" s="8">
        <f>L5+L13-L19-L20</f>
        <v>55943531.949999996</v>
      </c>
      <c r="M21" s="10">
        <f>SUM(K21:L21)</f>
        <v>120717741.78999999</v>
      </c>
      <c r="N21" s="8">
        <f>N5+N13-N19-N20</f>
        <v>52155428.88999999</v>
      </c>
      <c r="O21" s="8">
        <f>O5+O13-O19-O20</f>
        <v>47183571.00000001</v>
      </c>
      <c r="P21" s="10">
        <f>SUM(N21:O21)</f>
        <v>99338999.89</v>
      </c>
      <c r="Q21" s="8">
        <f>Q5+Q13-Q19-Q20</f>
        <v>48092695.66171001</v>
      </c>
      <c r="R21" s="8">
        <f>R5+R13-R19-R20</f>
        <v>71297115.122014</v>
      </c>
      <c r="S21" s="10">
        <f t="shared" si="15"/>
        <v>119389810.78372401</v>
      </c>
      <c r="T21" s="8">
        <f>T5+T13-T19-T20</f>
        <v>694787804.7537239</v>
      </c>
      <c r="U21" s="8">
        <f>SUM(B21:R21)</f>
        <v>1270185798.7237241</v>
      </c>
      <c r="V21" s="11">
        <f>U21-T21</f>
        <v>575397993.9700003</v>
      </c>
      <c r="W21" s="1"/>
      <c r="X21" s="1"/>
    </row>
    <row r="22" spans="1:20" s="15" customFormat="1" ht="12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2" s="4" customFormat="1" ht="12.75" customHeight="1">
      <c r="A23" s="34" t="s">
        <v>0</v>
      </c>
      <c r="B23" s="29" t="s">
        <v>42</v>
      </c>
      <c r="C23" s="30"/>
      <c r="D23" s="30"/>
      <c r="E23" s="30"/>
      <c r="F23" s="30"/>
      <c r="G23" s="30"/>
      <c r="H23" s="30"/>
      <c r="I23" s="30"/>
      <c r="J23" s="30"/>
      <c r="K23" s="29" t="s">
        <v>42</v>
      </c>
      <c r="L23" s="30"/>
      <c r="M23" s="30"/>
      <c r="N23" s="30"/>
      <c r="O23" s="30"/>
      <c r="P23" s="30"/>
      <c r="Q23" s="30"/>
      <c r="R23" s="30"/>
      <c r="S23" s="30"/>
      <c r="T23" s="31"/>
      <c r="U23" s="3"/>
      <c r="V23" s="3"/>
    </row>
    <row r="24" spans="1:22" s="4" customFormat="1" ht="23.25" customHeight="1">
      <c r="A24" s="34"/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5" t="s">
        <v>6</v>
      </c>
      <c r="H24" s="5" t="s">
        <v>7</v>
      </c>
      <c r="I24" s="5" t="s">
        <v>8</v>
      </c>
      <c r="J24" s="5" t="s">
        <v>9</v>
      </c>
      <c r="K24" s="5" t="s">
        <v>10</v>
      </c>
      <c r="L24" s="5" t="s">
        <v>11</v>
      </c>
      <c r="M24" s="5" t="s">
        <v>12</v>
      </c>
      <c r="N24" s="5" t="s">
        <v>13</v>
      </c>
      <c r="O24" s="5" t="s">
        <v>14</v>
      </c>
      <c r="P24" s="5" t="s">
        <v>15</v>
      </c>
      <c r="Q24" s="5" t="s">
        <v>16</v>
      </c>
      <c r="R24" s="5" t="s">
        <v>17</v>
      </c>
      <c r="S24" s="5" t="s">
        <v>18</v>
      </c>
      <c r="T24" s="26" t="s">
        <v>19</v>
      </c>
      <c r="U24" s="24"/>
      <c r="V24" s="25"/>
    </row>
    <row r="25" spans="1:22" s="18" customFormat="1" ht="12.75" customHeight="1">
      <c r="A25" s="16" t="s">
        <v>23</v>
      </c>
      <c r="B25" s="16">
        <f>B5/$T$5</f>
        <v>0.12994201373783365</v>
      </c>
      <c r="C25" s="16">
        <f>C5/$T$5</f>
        <v>0.0740433483555428</v>
      </c>
      <c r="D25" s="17">
        <f aca="true" t="shared" si="17" ref="D25:D36">SUM(B25:C25)</f>
        <v>0.20398536209337645</v>
      </c>
      <c r="E25" s="16">
        <f>E5/$T$5</f>
        <v>0.08052956635327638</v>
      </c>
      <c r="F25" s="16">
        <f>F5/$T$5</f>
        <v>0.08372142730731351</v>
      </c>
      <c r="G25" s="17">
        <f aca="true" t="shared" si="18" ref="G25:G36">SUM(E25:F25)</f>
        <v>0.16425099366058987</v>
      </c>
      <c r="H25" s="16">
        <f>H5/$T$5</f>
        <v>0.08288517780834181</v>
      </c>
      <c r="I25" s="16">
        <f>I5/$T$5</f>
        <v>0.07383878190231201</v>
      </c>
      <c r="J25" s="17">
        <f aca="true" t="shared" si="19" ref="J25:J36">SUM(H25:I25)</f>
        <v>0.15672395971065384</v>
      </c>
      <c r="K25" s="16">
        <f>K5/$T$5</f>
        <v>0.09508714222311336</v>
      </c>
      <c r="L25" s="16">
        <f>L5/$T$5</f>
        <v>0.08144961635054647</v>
      </c>
      <c r="M25" s="17">
        <f aca="true" t="shared" si="20" ref="M25:M36">SUM(K25:L25)</f>
        <v>0.17653675857365983</v>
      </c>
      <c r="N25" s="16">
        <f>N5/$T$5</f>
        <v>0.07117740036289075</v>
      </c>
      <c r="O25" s="16">
        <f>O5/$T$5</f>
        <v>0.06439222138847155</v>
      </c>
      <c r="P25" s="17">
        <f aca="true" t="shared" si="21" ref="P25:P36">SUM(N25:O25)</f>
        <v>0.13556962175136228</v>
      </c>
      <c r="Q25" s="16">
        <f>Q5/$T$5</f>
        <v>0.06563291924008637</v>
      </c>
      <c r="R25" s="16">
        <f>R5/$T$5</f>
        <v>0.09730038497027138</v>
      </c>
      <c r="S25" s="17">
        <f aca="true" t="shared" si="22" ref="S25:S36">SUM(Q25:R25)</f>
        <v>0.16293330421035773</v>
      </c>
      <c r="T25" s="16">
        <f aca="true" t="shared" si="23" ref="T25:T36">SUM(B25+C25+E25+F25+H25+I25+K25+L25+N25+O25+Q25+R25)</f>
        <v>1</v>
      </c>
      <c r="U25" s="16">
        <f aca="true" t="shared" si="24" ref="U25:U36">SUM(B25:R25)</f>
        <v>1.8370666957896422</v>
      </c>
      <c r="V25" s="16">
        <f aca="true" t="shared" si="25" ref="V25:V36">U25-T25</f>
        <v>0.8370666957896422</v>
      </c>
    </row>
    <row r="26" spans="1:23" s="22" customFormat="1" ht="24.75" customHeight="1">
      <c r="A26" s="27" t="s">
        <v>39</v>
      </c>
      <c r="B26" s="19">
        <f>B6/$T$6</f>
        <v>0.20204820826505512</v>
      </c>
      <c r="C26" s="19">
        <f>C6/$T$6</f>
        <v>0.06686673590635217</v>
      </c>
      <c r="D26" s="20">
        <f t="shared" si="17"/>
        <v>0.26891494417140727</v>
      </c>
      <c r="E26" s="19">
        <f>E6/$T$6</f>
        <v>0.0723237154374035</v>
      </c>
      <c r="F26" s="19">
        <f>F6/$T$6</f>
        <v>0.06261309021756173</v>
      </c>
      <c r="G26" s="20">
        <f t="shared" si="18"/>
        <v>0.13493680565496524</v>
      </c>
      <c r="H26" s="19">
        <f>H6/$T$6</f>
        <v>0.0683926755999893</v>
      </c>
      <c r="I26" s="19">
        <f>I6/$T$6</f>
        <v>0.06589687739145772</v>
      </c>
      <c r="J26" s="20">
        <f t="shared" si="19"/>
        <v>0.13428955299144701</v>
      </c>
      <c r="K26" s="19">
        <f>K6/$T$6</f>
        <v>0.07346702208399117</v>
      </c>
      <c r="L26" s="19">
        <f>L6/$T$6</f>
        <v>0.07302847326054106</v>
      </c>
      <c r="M26" s="20">
        <f t="shared" si="20"/>
        <v>0.1464954953445322</v>
      </c>
      <c r="N26" s="19">
        <f>N6/$T$6</f>
        <v>0.07519769781789065</v>
      </c>
      <c r="O26" s="19">
        <f>O6/$T$6</f>
        <v>0.0680292732910751</v>
      </c>
      <c r="P26" s="20">
        <f t="shared" si="21"/>
        <v>0.14322697110896576</v>
      </c>
      <c r="Q26" s="19">
        <f>Q6/$T$6</f>
        <v>0.06934004934738668</v>
      </c>
      <c r="R26" s="19">
        <f>R6/$T$6</f>
        <v>0.10279618138129576</v>
      </c>
      <c r="S26" s="20">
        <f t="shared" si="22"/>
        <v>0.17213623072868245</v>
      </c>
      <c r="T26" s="16">
        <f t="shared" si="23"/>
        <v>0.9999999999999999</v>
      </c>
      <c r="U26" s="19">
        <f t="shared" si="24"/>
        <v>1.8278637692713176</v>
      </c>
      <c r="V26" s="19">
        <f t="shared" si="25"/>
        <v>0.8278637692713177</v>
      </c>
      <c r="W26" s="21"/>
    </row>
    <row r="27" spans="1:22" s="22" customFormat="1" ht="12.75" customHeight="1">
      <c r="A27" s="19" t="s">
        <v>24</v>
      </c>
      <c r="B27" s="19">
        <f>B7/$T$7</f>
        <v>0.10862475718621745</v>
      </c>
      <c r="C27" s="19">
        <f>C7/$T$7</f>
        <v>0.08482721314006994</v>
      </c>
      <c r="D27" s="20">
        <f>SUM(B27:C27)</f>
        <v>0.1934519703262874</v>
      </c>
      <c r="E27" s="19">
        <f>E7/$T$7</f>
        <v>0.08539189084731907</v>
      </c>
      <c r="F27" s="19">
        <f>F7/$T$7</f>
        <v>0.08699495287518924</v>
      </c>
      <c r="G27" s="20">
        <f t="shared" si="18"/>
        <v>0.17238684372250832</v>
      </c>
      <c r="H27" s="19">
        <f>H7/$T$7</f>
        <v>0.08533699580168723</v>
      </c>
      <c r="I27" s="19">
        <f>I7/$T$7</f>
        <v>0.07887020152972524</v>
      </c>
      <c r="J27" s="20">
        <f t="shared" si="19"/>
        <v>0.16420719733141248</v>
      </c>
      <c r="K27" s="19">
        <f>K7/$T$7</f>
        <v>0.0792393078366332</v>
      </c>
      <c r="L27" s="19">
        <f>L7/$T$7</f>
        <v>0.08206941501211863</v>
      </c>
      <c r="M27" s="20">
        <f t="shared" si="20"/>
        <v>0.16130872284875183</v>
      </c>
      <c r="N27" s="19">
        <f>N7/$T$7</f>
        <v>0.07359582011763396</v>
      </c>
      <c r="O27" s="19">
        <f>O7/$T$7</f>
        <v>0.06658009902655891</v>
      </c>
      <c r="P27" s="20">
        <f t="shared" si="21"/>
        <v>0.14017591914419286</v>
      </c>
      <c r="Q27" s="19">
        <f>Q7/$T$7</f>
        <v>0.06786295256141953</v>
      </c>
      <c r="R27" s="19">
        <f>R7/$T$7</f>
        <v>0.10060639406542767</v>
      </c>
      <c r="S27" s="20">
        <f t="shared" si="22"/>
        <v>0.1684693466268472</v>
      </c>
      <c r="T27" s="16">
        <f t="shared" si="23"/>
        <v>1</v>
      </c>
      <c r="U27" s="19">
        <f t="shared" si="24"/>
        <v>1.8315306533731526</v>
      </c>
      <c r="V27" s="19">
        <f t="shared" si="25"/>
        <v>0.8315306533731526</v>
      </c>
    </row>
    <row r="28" spans="1:22" s="22" customFormat="1" ht="12.75" customHeight="1">
      <c r="A28" s="19" t="s">
        <v>25</v>
      </c>
      <c r="B28" s="19">
        <f>B8/$T$8</f>
        <v>0.06737860239723595</v>
      </c>
      <c r="C28" s="19">
        <f>C8/$T$8</f>
        <v>0.03311214593437366</v>
      </c>
      <c r="D28" s="20">
        <f t="shared" si="17"/>
        <v>0.1004907483316096</v>
      </c>
      <c r="E28" s="19">
        <f>E8/$T$8</f>
        <v>0.05994078418056015</v>
      </c>
      <c r="F28" s="19">
        <f>F8/$T$8</f>
        <v>0.06658868161137127</v>
      </c>
      <c r="G28" s="20">
        <f t="shared" si="18"/>
        <v>0.12652946579193142</v>
      </c>
      <c r="H28" s="19">
        <f>H8/$T$8</f>
        <v>0.09219155040614191</v>
      </c>
      <c r="I28" s="19">
        <f>I8/$T$8</f>
        <v>0.09983971541827565</v>
      </c>
      <c r="J28" s="20">
        <f t="shared" si="19"/>
        <v>0.19203126582441754</v>
      </c>
      <c r="K28" s="19">
        <f>K8/$T$8</f>
        <v>0.13990170249377276</v>
      </c>
      <c r="L28" s="19">
        <f>L8/$T$8</f>
        <v>0.1520684012493185</v>
      </c>
      <c r="M28" s="20">
        <f t="shared" si="20"/>
        <v>0.2919701037430913</v>
      </c>
      <c r="N28" s="19">
        <f>N8/$T$8</f>
        <v>0.06890629626259087</v>
      </c>
      <c r="O28" s="19">
        <f>O8/$T$8</f>
        <v>0.06233761786540166</v>
      </c>
      <c r="P28" s="20">
        <f t="shared" si="21"/>
        <v>0.13124391412799252</v>
      </c>
      <c r="Q28" s="19">
        <f>Q8/$T$8</f>
        <v>0.06353873100489145</v>
      </c>
      <c r="R28" s="19">
        <f>R8/$T$8</f>
        <v>0.09419577117606633</v>
      </c>
      <c r="S28" s="20">
        <f t="shared" si="22"/>
        <v>0.15773450218095778</v>
      </c>
      <c r="T28" s="16">
        <f t="shared" si="23"/>
        <v>1.0000000000000002</v>
      </c>
      <c r="U28" s="19">
        <f t="shared" si="24"/>
        <v>1.8422654978190423</v>
      </c>
      <c r="V28" s="19">
        <f t="shared" si="25"/>
        <v>0.842265497819042</v>
      </c>
    </row>
    <row r="29" spans="1:22" s="22" customFormat="1" ht="12.75" customHeight="1" hidden="1">
      <c r="A29" s="19" t="s">
        <v>26</v>
      </c>
      <c r="B29" s="19">
        <f>B9/$T$8</f>
        <v>0</v>
      </c>
      <c r="C29" s="19">
        <v>0</v>
      </c>
      <c r="D29" s="20">
        <f t="shared" si="17"/>
        <v>0</v>
      </c>
      <c r="E29" s="19">
        <v>0</v>
      </c>
      <c r="F29" s="19">
        <v>0</v>
      </c>
      <c r="G29" s="20">
        <f t="shared" si="18"/>
        <v>0</v>
      </c>
      <c r="H29" s="19">
        <v>0</v>
      </c>
      <c r="I29" s="19">
        <v>0</v>
      </c>
      <c r="J29" s="20">
        <f t="shared" si="19"/>
        <v>0</v>
      </c>
      <c r="K29" s="19">
        <v>0</v>
      </c>
      <c r="L29" s="19">
        <v>0</v>
      </c>
      <c r="M29" s="20">
        <v>0</v>
      </c>
      <c r="N29" s="19">
        <v>0</v>
      </c>
      <c r="O29" s="19">
        <v>0</v>
      </c>
      <c r="P29" s="20">
        <f t="shared" si="21"/>
        <v>0</v>
      </c>
      <c r="Q29" s="19">
        <v>0</v>
      </c>
      <c r="R29" s="19">
        <v>0</v>
      </c>
      <c r="S29" s="20">
        <f t="shared" si="22"/>
        <v>0</v>
      </c>
      <c r="T29" s="16">
        <f t="shared" si="23"/>
        <v>0</v>
      </c>
      <c r="U29" s="19">
        <f t="shared" si="24"/>
        <v>0</v>
      </c>
      <c r="V29" s="19">
        <f t="shared" si="25"/>
        <v>0</v>
      </c>
    </row>
    <row r="30" spans="1:22" s="22" customFormat="1" ht="12.75" customHeight="1">
      <c r="A30" s="19" t="s">
        <v>27</v>
      </c>
      <c r="B30" s="19">
        <f>B10/$T$10</f>
        <v>0.10632749051167902</v>
      </c>
      <c r="C30" s="19">
        <f>C10/$T$10</f>
        <v>0.3780181860764323</v>
      </c>
      <c r="D30" s="20">
        <f t="shared" si="17"/>
        <v>0.4843456765881113</v>
      </c>
      <c r="E30" s="19">
        <f>E10/$T$10</f>
        <v>0.004617598419277937</v>
      </c>
      <c r="F30" s="19">
        <f>F10/$T$10</f>
        <v>0.06441421954404923</v>
      </c>
      <c r="G30" s="20">
        <f t="shared" si="18"/>
        <v>0.06903181796332716</v>
      </c>
      <c r="H30" s="19">
        <f>H10/$T$10</f>
        <v>0.20922374233084914</v>
      </c>
      <c r="I30" s="19">
        <f>I10/$T$10</f>
        <v>0.01793244090445611</v>
      </c>
      <c r="J30" s="20">
        <f t="shared" si="19"/>
        <v>0.22715618323530526</v>
      </c>
      <c r="K30" s="19">
        <f>K10/$T$10</f>
        <v>0.10010523828955564</v>
      </c>
      <c r="L30" s="19">
        <f>L10/$T$10</f>
        <v>0.017490624178624868</v>
      </c>
      <c r="M30" s="20">
        <f t="shared" si="20"/>
        <v>0.11759586246818052</v>
      </c>
      <c r="N30" s="19">
        <f>N10/$T$10</f>
        <v>0.02429071540559696</v>
      </c>
      <c r="O30" s="19">
        <f>O10/$T$10</f>
        <v>0.021975268490592476</v>
      </c>
      <c r="P30" s="20">
        <f t="shared" si="21"/>
        <v>0.04626598389618944</v>
      </c>
      <c r="Q30" s="19">
        <f>Q10/$T$10</f>
        <v>0.02239867618618075</v>
      </c>
      <c r="R30" s="19">
        <f>R10/$T$10</f>
        <v>0.03320579966270566</v>
      </c>
      <c r="S30" s="20">
        <f t="shared" si="22"/>
        <v>0.05560447584888641</v>
      </c>
      <c r="T30" s="16">
        <f t="shared" si="23"/>
        <v>1.0000000000000002</v>
      </c>
      <c r="U30" s="19">
        <f t="shared" si="24"/>
        <v>1.9443955241511135</v>
      </c>
      <c r="V30" s="19">
        <f t="shared" si="25"/>
        <v>0.9443955241511133</v>
      </c>
    </row>
    <row r="31" spans="1:22" s="22" customFormat="1" ht="12.75" customHeight="1">
      <c r="A31" s="19" t="s">
        <v>28</v>
      </c>
      <c r="B31" s="19">
        <f>B11/$T$11</f>
        <v>0.09482014020192438</v>
      </c>
      <c r="C31" s="19">
        <f>C11/$T$11</f>
        <v>0.078620170198263</v>
      </c>
      <c r="D31" s="20">
        <f t="shared" si="17"/>
        <v>0.17344031040018737</v>
      </c>
      <c r="E31" s="19">
        <f>E11/$T$11</f>
        <v>0.08550118241198314</v>
      </c>
      <c r="F31" s="19">
        <f>F11/$T$11</f>
        <v>0.09527129961353337</v>
      </c>
      <c r="G31" s="20">
        <f t="shared" si="18"/>
        <v>0.1807724820255165</v>
      </c>
      <c r="H31" s="19">
        <f>H11/$T$11</f>
        <v>0.08826900660590095</v>
      </c>
      <c r="I31" s="19">
        <f>I11/$T$11</f>
        <v>0.07759406487841991</v>
      </c>
      <c r="J31" s="20">
        <f t="shared" si="19"/>
        <v>0.16586307148432086</v>
      </c>
      <c r="K31" s="19">
        <f>K11/$T$11</f>
        <v>0.1069006861998379</v>
      </c>
      <c r="L31" s="19">
        <f>L11/$T$11</f>
        <v>0.08511455321041916</v>
      </c>
      <c r="M31" s="20">
        <f t="shared" si="20"/>
        <v>0.19201523941025705</v>
      </c>
      <c r="N31" s="19">
        <f>N11/$T$11</f>
        <v>0.06865127632139871</v>
      </c>
      <c r="O31" s="19">
        <f>O11/$T$11</f>
        <v>0.06210690685697235</v>
      </c>
      <c r="P31" s="20">
        <f t="shared" si="21"/>
        <v>0.13075818317837107</v>
      </c>
      <c r="Q31" s="19">
        <f>Q11/$T$11</f>
        <v>0.06330357155716393</v>
      </c>
      <c r="R31" s="19">
        <f>R11/$T$11</f>
        <v>0.09384714194418325</v>
      </c>
      <c r="S31" s="20">
        <f t="shared" si="22"/>
        <v>0.15715071350134718</v>
      </c>
      <c r="T31" s="16">
        <f t="shared" si="23"/>
        <v>1</v>
      </c>
      <c r="U31" s="19">
        <f t="shared" si="24"/>
        <v>1.842849286498653</v>
      </c>
      <c r="V31" s="19">
        <f t="shared" si="25"/>
        <v>0.842849286498653</v>
      </c>
    </row>
    <row r="32" spans="1:22" s="22" customFormat="1" ht="12.75" customHeight="1">
      <c r="A32" s="19" t="s">
        <v>29</v>
      </c>
      <c r="B32" s="19">
        <f>B12/$T$12</f>
        <v>0.03579337810772092</v>
      </c>
      <c r="C32" s="19">
        <f>C12/$T$12</f>
        <v>0.043947503372729714</v>
      </c>
      <c r="D32" s="20">
        <f t="shared" si="17"/>
        <v>0.07974088148045064</v>
      </c>
      <c r="E32" s="19">
        <f>E12/$T$12</f>
        <v>0.04990825989943034</v>
      </c>
      <c r="F32" s="19">
        <f>F12/$T$12</f>
        <v>0.06625373575982163</v>
      </c>
      <c r="G32" s="20">
        <f t="shared" si="18"/>
        <v>0.11616199565925198</v>
      </c>
      <c r="H32" s="19">
        <f>H12/$T$12</f>
        <v>0.21925023739115174</v>
      </c>
      <c r="I32" s="19">
        <f>I12/$T$12</f>
        <v>0.06890788737630385</v>
      </c>
      <c r="J32" s="20">
        <f t="shared" si="19"/>
        <v>0.2881581247674556</v>
      </c>
      <c r="K32" s="19">
        <f>K12/$T$12</f>
        <v>0.046591884488558666</v>
      </c>
      <c r="L32" s="19">
        <f>L12/$T$12</f>
        <v>0.062311852867957346</v>
      </c>
      <c r="M32" s="20">
        <f t="shared" si="20"/>
        <v>0.10890373735651601</v>
      </c>
      <c r="N32" s="19">
        <f>N12/$T$12</f>
        <v>0.09705670996789495</v>
      </c>
      <c r="O32" s="19">
        <f>O12/$T$12</f>
        <v>0.08780451402818336</v>
      </c>
      <c r="P32" s="20">
        <f t="shared" si="21"/>
        <v>0.1848612239960783</v>
      </c>
      <c r="Q32" s="19">
        <f>Q12/$T$12</f>
        <v>0.08949631581460979</v>
      </c>
      <c r="R32" s="19">
        <f>R12/$T$12</f>
        <v>0.1326777209256376</v>
      </c>
      <c r="S32" s="20">
        <f t="shared" si="22"/>
        <v>0.22217403674024738</v>
      </c>
      <c r="T32" s="16">
        <f t="shared" si="23"/>
        <v>0.9999999999999999</v>
      </c>
      <c r="U32" s="19">
        <f t="shared" si="24"/>
        <v>1.7778259632597524</v>
      </c>
      <c r="V32" s="19">
        <f t="shared" si="25"/>
        <v>0.7778259632597525</v>
      </c>
    </row>
    <row r="33" spans="1:22" s="18" customFormat="1" ht="12.75" customHeight="1">
      <c r="A33" s="16" t="s">
        <v>30</v>
      </c>
      <c r="B33" s="16">
        <f>B13/$T$13</f>
        <v>0.01129390104341113</v>
      </c>
      <c r="C33" s="16">
        <f>C13/$T$13</f>
        <v>0.0007991058074804855</v>
      </c>
      <c r="D33" s="17">
        <f t="shared" si="17"/>
        <v>0.012093006850891614</v>
      </c>
      <c r="E33" s="16">
        <f>E13/$T$13</f>
        <v>0.038597817532829384</v>
      </c>
      <c r="F33" s="16">
        <f>F13/$T$13</f>
        <v>0.0422810281877639</v>
      </c>
      <c r="G33" s="17">
        <f t="shared" si="18"/>
        <v>0.08087884572059328</v>
      </c>
      <c r="H33" s="16">
        <f>H13/$T$13</f>
        <v>0.06450236073567742</v>
      </c>
      <c r="I33" s="16">
        <f>I13/$T$13</f>
        <v>0.06691285117456727</v>
      </c>
      <c r="J33" s="17">
        <f t="shared" si="19"/>
        <v>0.1314152119102447</v>
      </c>
      <c r="K33" s="16">
        <f>K13/$T$13</f>
        <v>0.03886459274623674</v>
      </c>
      <c r="L33" s="16">
        <f>L13/$T$13</f>
        <v>0.04583957958805325</v>
      </c>
      <c r="M33" s="17">
        <f t="shared" si="20"/>
        <v>0.08470417233428999</v>
      </c>
      <c r="N33" s="16">
        <f>N13/$T$13</f>
        <v>0.16474575458436944</v>
      </c>
      <c r="O33" s="16">
        <f>O13/$T$13</f>
        <v>0.14904091745280218</v>
      </c>
      <c r="P33" s="17">
        <f t="shared" si="21"/>
        <v>0.3137866720371716</v>
      </c>
      <c r="Q33" s="16">
        <f>Q13/$T$13</f>
        <v>0.15191261183995372</v>
      </c>
      <c r="R33" s="16">
        <f>R13/$T$13</f>
        <v>0.22520947930685506</v>
      </c>
      <c r="S33" s="17">
        <f t="shared" si="22"/>
        <v>0.3771220911468088</v>
      </c>
      <c r="T33" s="16">
        <f t="shared" si="23"/>
        <v>1</v>
      </c>
      <c r="U33" s="16">
        <f t="shared" si="24"/>
        <v>1.622877908853191</v>
      </c>
      <c r="V33" s="16">
        <f t="shared" si="25"/>
        <v>0.622877908853191</v>
      </c>
    </row>
    <row r="34" spans="1:22" s="22" customFormat="1" ht="12.75" customHeight="1">
      <c r="A34" s="19" t="s">
        <v>31</v>
      </c>
      <c r="B34" s="19">
        <f>B14/$T$14</f>
        <v>0.02798574325381919</v>
      </c>
      <c r="C34" s="19">
        <f>C14/$T$14</f>
        <v>0.0019330129788689195</v>
      </c>
      <c r="D34" s="20">
        <f t="shared" si="17"/>
        <v>0.02991875623268811</v>
      </c>
      <c r="E34" s="19">
        <f>E14/$T$14</f>
        <v>0.027719538444659436</v>
      </c>
      <c r="F34" s="19">
        <f>F14/$T$14</f>
        <v>0.03664160294270089</v>
      </c>
      <c r="G34" s="20">
        <f t="shared" si="18"/>
        <v>0.06436114138736032</v>
      </c>
      <c r="H34" s="19">
        <f>H14/$T$14</f>
        <v>0.17587410836328266</v>
      </c>
      <c r="I34" s="19">
        <f>I14/$T$14</f>
        <v>0.131905581272462</v>
      </c>
      <c r="J34" s="20">
        <f t="shared" si="19"/>
        <v>0.30777968963574465</v>
      </c>
      <c r="K34" s="19">
        <f>K14/$T$14</f>
        <v>0</v>
      </c>
      <c r="L34" s="19">
        <f>L14/$T$14</f>
        <v>0.043968527090820664</v>
      </c>
      <c r="M34" s="20">
        <f t="shared" si="20"/>
        <v>0.043968527090820664</v>
      </c>
      <c r="N34" s="19">
        <f>N14/$T$14</f>
        <v>0.1321523291290135</v>
      </c>
      <c r="O34" s="19">
        <f>O14/$T$14</f>
        <v>0.11947104526050216</v>
      </c>
      <c r="P34" s="20">
        <f t="shared" si="21"/>
        <v>0.25162337438951565</v>
      </c>
      <c r="Q34" s="19">
        <f>Q14/$T$14</f>
        <v>0.12180707131491479</v>
      </c>
      <c r="R34" s="19">
        <f>R14/$T$14</f>
        <v>0.18054143994895588</v>
      </c>
      <c r="S34" s="20">
        <f t="shared" si="22"/>
        <v>0.3023485112638707</v>
      </c>
      <c r="T34" s="16">
        <f t="shared" si="23"/>
        <v>1</v>
      </c>
      <c r="U34" s="19">
        <f t="shared" si="24"/>
        <v>1.6976514887361294</v>
      </c>
      <c r="V34" s="19">
        <f t="shared" si="25"/>
        <v>0.6976514887361294</v>
      </c>
    </row>
    <row r="35" spans="1:22" s="22" customFormat="1" ht="12.75" customHeight="1">
      <c r="A35" s="19" t="s">
        <v>32</v>
      </c>
      <c r="B35" s="19">
        <f>B15/$T$15</f>
        <v>0.009687255785762877</v>
      </c>
      <c r="C35" s="19">
        <f>C15/$T$15</f>
        <v>0.0009708604027978404</v>
      </c>
      <c r="D35" s="20">
        <f t="shared" si="17"/>
        <v>0.010658116188560718</v>
      </c>
      <c r="E35" s="19">
        <f>E15/$T$15</f>
        <v>0.000460922789302326</v>
      </c>
      <c r="F35" s="19">
        <f>F15/$T$15</f>
        <v>0.0006659460740511272</v>
      </c>
      <c r="G35" s="20">
        <f t="shared" si="18"/>
        <v>0.001126868863353453</v>
      </c>
      <c r="H35" s="19">
        <f>H15/$T$15</f>
        <v>0.000679022089185576</v>
      </c>
      <c r="I35" s="19">
        <f>I15/$T$15</f>
        <v>0.0005212659207421141</v>
      </c>
      <c r="J35" s="20">
        <f t="shared" si="19"/>
        <v>0.00120028800992769</v>
      </c>
      <c r="K35" s="19">
        <f>K15/$T$15</f>
        <v>0.0006920981043200249</v>
      </c>
      <c r="L35" s="19">
        <f>L15/$T$15</f>
        <v>0.0006434320509401778</v>
      </c>
      <c r="M35" s="20">
        <f t="shared" si="20"/>
        <v>0.0013355301552602028</v>
      </c>
      <c r="N35" s="19">
        <f>N15/$T$15</f>
        <v>0.2346570420207015</v>
      </c>
      <c r="O35" s="19">
        <f>O15/$T$15</f>
        <v>0.2128210486399939</v>
      </c>
      <c r="P35" s="20">
        <f t="shared" si="21"/>
        <v>0.44747809066069544</v>
      </c>
      <c r="Q35" s="19">
        <f>Q15/$T$15</f>
        <v>0.2167039911813473</v>
      </c>
      <c r="R35" s="19">
        <f>R15/$T$15</f>
        <v>0.3214971149408553</v>
      </c>
      <c r="S35" s="20">
        <f t="shared" si="22"/>
        <v>0.5382011061222026</v>
      </c>
      <c r="T35" s="16">
        <f t="shared" si="23"/>
        <v>1</v>
      </c>
      <c r="U35" s="19">
        <f t="shared" si="24"/>
        <v>1.4617988938777975</v>
      </c>
      <c r="V35" s="19">
        <f t="shared" si="25"/>
        <v>0.4617988938777975</v>
      </c>
    </row>
    <row r="36" spans="1:22" s="22" customFormat="1" ht="12.75" customHeight="1">
      <c r="A36" s="19" t="s">
        <v>35</v>
      </c>
      <c r="B36" s="19">
        <f>B16/$T$16</f>
        <v>0.32940896668219916</v>
      </c>
      <c r="C36" s="19">
        <f>C16/$T$16</f>
        <v>0.0036951176327104027</v>
      </c>
      <c r="D36" s="20">
        <f t="shared" si="17"/>
        <v>0.33310408431490957</v>
      </c>
      <c r="E36" s="19">
        <f>E16/$T$16</f>
        <v>0</v>
      </c>
      <c r="F36" s="19">
        <f>F16/$T$16</f>
        <v>0.007390235265420805</v>
      </c>
      <c r="G36" s="20">
        <f t="shared" si="18"/>
        <v>0.007390235265420805</v>
      </c>
      <c r="H36" s="19">
        <f>H16/$T$16</f>
        <v>0.08157914919265861</v>
      </c>
      <c r="I36" s="19">
        <f>I16/$T$16</f>
        <v>0.11283758509969981</v>
      </c>
      <c r="J36" s="20">
        <f t="shared" si="19"/>
        <v>0.19441673429235842</v>
      </c>
      <c r="K36" s="19">
        <f>K16/$T$16</f>
        <v>0.18195367231732276</v>
      </c>
      <c r="L36" s="19">
        <f>L16/$T$16</f>
        <v>0.0036951176327104027</v>
      </c>
      <c r="M36" s="20">
        <f t="shared" si="20"/>
        <v>0.18564878995003317</v>
      </c>
      <c r="N36" s="19">
        <f>N16/$T$16</f>
        <v>0.06666162761819408</v>
      </c>
      <c r="O36" s="19">
        <f>O16/$T$16</f>
        <v>0.06026480476594313</v>
      </c>
      <c r="P36" s="20">
        <f t="shared" si="21"/>
        <v>0.1269264323841372</v>
      </c>
      <c r="Q36" s="19">
        <f>Q16/$T$16</f>
        <v>0.06144316687030514</v>
      </c>
      <c r="R36" s="19">
        <f>R16/$T$16</f>
        <v>0.09107055692283586</v>
      </c>
      <c r="S36" s="20">
        <f t="shared" si="22"/>
        <v>0.152513723793141</v>
      </c>
      <c r="T36" s="16">
        <f t="shared" si="23"/>
        <v>1</v>
      </c>
      <c r="U36" s="19">
        <f t="shared" si="24"/>
        <v>1.8474862762068593</v>
      </c>
      <c r="V36" s="19">
        <f t="shared" si="25"/>
        <v>0.8474862762068593</v>
      </c>
    </row>
    <row r="37" spans="1:22" s="22" customFormat="1" ht="12.75" customHeight="1">
      <c r="A37" s="12" t="s">
        <v>34</v>
      </c>
      <c r="B37" s="19">
        <f>B17/$T$17</f>
        <v>0.0001926647538397437</v>
      </c>
      <c r="C37" s="19">
        <f>C17/$T$17</f>
        <v>0</v>
      </c>
      <c r="D37" s="20">
        <f>SUM(B37:C37)</f>
        <v>0.0001926647538397437</v>
      </c>
      <c r="E37" s="19">
        <f>E17/$T$17</f>
        <v>0.05718065645766976</v>
      </c>
      <c r="F37" s="19">
        <f>F17/$T$17</f>
        <v>0.05846730263443491</v>
      </c>
      <c r="G37" s="20">
        <f>SUM(E37:F37)</f>
        <v>0.11564795909210468</v>
      </c>
      <c r="H37" s="19">
        <f>H17/$T$17</f>
        <v>0.010661527279808956</v>
      </c>
      <c r="I37" s="19">
        <f>I17/$T$17</f>
        <v>0.04412032125105517</v>
      </c>
      <c r="J37" s="20">
        <f>SUM(H37:I37)</f>
        <v>0.054781848530864125</v>
      </c>
      <c r="K37" s="19">
        <f>K17/$T$17</f>
        <v>0.07538938911138482</v>
      </c>
      <c r="L37" s="19">
        <f>L17/$T$17</f>
        <v>0.0606447779363547</v>
      </c>
      <c r="M37" s="20">
        <f>SUM(K37:L37)</f>
        <v>0.13603416704773952</v>
      </c>
      <c r="N37" s="19">
        <f>N17/$T$17</f>
        <v>0.1653999821289421</v>
      </c>
      <c r="O37" s="19">
        <f>O17/$T$17</f>
        <v>0.14952826718639917</v>
      </c>
      <c r="P37" s="20">
        <f>SUM(N37:O37)</f>
        <v>0.31492824931534125</v>
      </c>
      <c r="Q37" s="19">
        <f>Q17/$T$17</f>
        <v>0.1524520039844817</v>
      </c>
      <c r="R37" s="19">
        <f>R17/$T$17</f>
        <v>0.22596310727562902</v>
      </c>
      <c r="S37" s="20">
        <f>SUM(Q37:R37)</f>
        <v>0.37841511126011074</v>
      </c>
      <c r="T37" s="16">
        <f>SUM(B37+C37+E37+F37+H37+I37+K37+L37+N37+O37+Q37+R37)</f>
        <v>1</v>
      </c>
      <c r="U37" s="19">
        <f>SUM(B37:R37)</f>
        <v>1.6215848887398894</v>
      </c>
      <c r="V37" s="19">
        <f>U37-T37</f>
        <v>0.6215848887398894</v>
      </c>
    </row>
    <row r="38" spans="1:22" s="1" customFormat="1" ht="12.75" customHeight="1" hidden="1">
      <c r="A38" s="12" t="s">
        <v>38</v>
      </c>
      <c r="B38" s="19">
        <f>B18/$T$17</f>
        <v>0</v>
      </c>
      <c r="C38" s="19" t="e">
        <f>C18/$T$18</f>
        <v>#DIV/0!</v>
      </c>
      <c r="D38" s="20" t="e">
        <f>SUM(B38:C38)</f>
        <v>#DIV/0!</v>
      </c>
      <c r="E38" s="19">
        <f>E18/$T$17</f>
        <v>0</v>
      </c>
      <c r="F38" s="19" t="e">
        <f>F18/$T$18</f>
        <v>#DIV/0!</v>
      </c>
      <c r="G38" s="20" t="e">
        <f>SUM(E38:F38)</f>
        <v>#DIV/0!</v>
      </c>
      <c r="H38" s="19">
        <f>H18/$T$17</f>
        <v>0</v>
      </c>
      <c r="I38" s="19">
        <f>I18/$T$17</f>
        <v>0</v>
      </c>
      <c r="J38" s="20">
        <f>SUM(H38:I38)</f>
        <v>0</v>
      </c>
      <c r="K38" s="19">
        <f>K18/$T$17</f>
        <v>0</v>
      </c>
      <c r="L38" s="19">
        <f>L18/$T$17</f>
        <v>0</v>
      </c>
      <c r="M38" s="20">
        <f>SUM(K38:L38)</f>
        <v>0</v>
      </c>
      <c r="N38" s="19">
        <f>N18/$T$17</f>
        <v>0</v>
      </c>
      <c r="O38" s="19">
        <f>O18/$T$17</f>
        <v>0</v>
      </c>
      <c r="P38" s="20">
        <f>SUM(N38:O38)</f>
        <v>0</v>
      </c>
      <c r="Q38" s="19">
        <f>Q18/$T$17</f>
        <v>0</v>
      </c>
      <c r="R38" s="19">
        <f>R18/$T$17</f>
        <v>0</v>
      </c>
      <c r="S38" s="20">
        <f>SUM(Q38:R38)</f>
        <v>0</v>
      </c>
      <c r="T38" s="16" t="e">
        <f>SUM(B38+C38+E38+F38+H38+I38+K38+L38+N38+O38+Q38+R38)</f>
        <v>#DIV/0!</v>
      </c>
      <c r="U38" s="19" t="e">
        <f>U18/$T$18</f>
        <v>#DIV/0!</v>
      </c>
      <c r="V38" s="19" t="e">
        <f>V18/$T$18</f>
        <v>#DIV/0!</v>
      </c>
    </row>
    <row r="39" ht="11.25" hidden="1">
      <c r="B39" s="19">
        <f>B19/$T$17</f>
        <v>0.2953587690547391</v>
      </c>
    </row>
    <row r="40" spans="2:3" ht="11.25" hidden="1">
      <c r="B40" s="19">
        <f>B20/$T$17</f>
        <v>0.15016677221770977</v>
      </c>
      <c r="C40" s="28"/>
    </row>
    <row r="43" spans="1:20" ht="11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0" ht="11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spans="1:20" ht="11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1:20" ht="11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</sheetData>
  <sheetProtection/>
  <mergeCells count="13">
    <mergeCell ref="J3:J4"/>
    <mergeCell ref="M3:M4"/>
    <mergeCell ref="B23:J23"/>
    <mergeCell ref="K23:T23"/>
    <mergeCell ref="P3:P4"/>
    <mergeCell ref="S3:S4"/>
    <mergeCell ref="B2:J2"/>
    <mergeCell ref="K2:T2"/>
    <mergeCell ref="A22:T22"/>
    <mergeCell ref="A23:A24"/>
    <mergeCell ref="A2:A4"/>
    <mergeCell ref="D3:D4"/>
    <mergeCell ref="G3:G4"/>
  </mergeCells>
  <printOptions horizontalCentered="1"/>
  <pageMargins left="0.2755905511811024" right="0.2755905511811024" top="0.7480314960629921" bottom="0.2755905511811024" header="0.3937007874015748" footer="0.5118110236220472"/>
  <pageSetup orientation="landscape" paperSize="9" r:id="rId1"/>
  <headerFooter alignWithMargins="0">
    <oddHeader>&amp;C&amp;"-,Regular"&amp;12ANEXO I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Nizeti</dc:creator>
  <cp:keywords/>
  <dc:description/>
  <cp:lastModifiedBy>Nizeti</cp:lastModifiedBy>
  <cp:lastPrinted>2021-05-13T18:53:37Z</cp:lastPrinted>
  <dcterms:created xsi:type="dcterms:W3CDTF">2005-01-14T10:04:29Z</dcterms:created>
  <dcterms:modified xsi:type="dcterms:W3CDTF">2021-09-27T20:02:38Z</dcterms:modified>
  <cp:category/>
  <cp:version/>
  <cp:contentType/>
  <cp:contentStatus/>
  <cp:revision>2</cp:revision>
</cp:coreProperties>
</file>