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50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<sst xmlns="http://schemas.openxmlformats.org/spreadsheetml/2006/main" count="90" uniqueCount="44">
  <si>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</si>
  <si>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</si>
  <si>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</si>
  <si>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</si>
  <si>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</si>
  <si>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</si>
  <si>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</si>
  <si>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</si>
  <si>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</si>
  <si>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</si>
  <si>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</si>
  <si>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</si>
  <si>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</si>
  <si>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</si>
  <si>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</si>
  <si>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</si>
  <si>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</si>
  <si>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</si>
  <si>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</si>
  <si>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</si>
  <si>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</si>
  <si>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</si>
  <si>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</si>
  <si>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</si>
  <si>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</si>
  <si>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</si>
  <si>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</si>
  <si>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</si>
  <si>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</si>
  <si>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</si>
  <si>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</si>
  <si>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</si>
  <si>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</si>
  <si>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</si>
  <si>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</si>
  <si>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</si>
  <si>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</si>
  <si>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</si>
  <si>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</si>
  <si>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</si>
  <si>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CONTRIBUIÇÕES</t>
  </si>
  <si>
    <t>ANEXO I – METAS DE ARRECADAÇÃO PARA O EXERCÍCIO 2021</t>
  </si>
  <si>
    <t>PROJEÇÃO PERCENTUAL DA ARRECADAÇÃO MENSAL – 2021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</si>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</sst>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6"/>
  <sheetViews>
    <sheetView tabSelected="1" zoomScale="110" zoomScaleNormal="110"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" sqref="W5:W6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3" t="s">
        <v>0</v>
      </c>
      <c r="B2" s="29" t="s">
        <v>41</v>
      </c>
      <c r="C2" s="30"/>
      <c r="D2" s="30"/>
      <c r="E2" s="30"/>
      <c r="F2" s="30"/>
      <c r="G2" s="30"/>
      <c r="H2" s="30"/>
      <c r="I2" s="30"/>
      <c r="J2" s="30"/>
      <c r="K2" s="29" t="s">
        <v>41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3"/>
      <c r="B3" s="5" t="s">
        <v>1</v>
      </c>
      <c r="C3" s="5" t="s">
        <v>2</v>
      </c>
      <c r="D3" s="34" t="s">
        <v>3</v>
      </c>
      <c r="E3" s="5" t="s">
        <v>4</v>
      </c>
      <c r="F3" s="5" t="s">
        <v>5</v>
      </c>
      <c r="G3" s="34" t="s">
        <v>6</v>
      </c>
      <c r="H3" s="5" t="s">
        <v>7</v>
      </c>
      <c r="I3" s="5" t="s">
        <v>8</v>
      </c>
      <c r="J3" s="34" t="s">
        <v>9</v>
      </c>
      <c r="K3" s="5" t="s">
        <v>10</v>
      </c>
      <c r="L3" s="5" t="s">
        <v>11</v>
      </c>
      <c r="M3" s="34" t="s">
        <v>12</v>
      </c>
      <c r="N3" s="5" t="s">
        <v>13</v>
      </c>
      <c r="O3" s="5" t="s">
        <v>14</v>
      </c>
      <c r="P3" s="34" t="s">
        <v>15</v>
      </c>
      <c r="Q3" s="5" t="s">
        <v>16</v>
      </c>
      <c r="R3" s="5" t="s">
        <v>17</v>
      </c>
      <c r="S3" s="34" t="s">
        <v>18</v>
      </c>
      <c r="T3" s="26" t="s">
        <v>19</v>
      </c>
      <c r="U3" s="24"/>
      <c r="V3" s="25"/>
    </row>
    <row r="4" spans="1:22" s="4" customFormat="1" ht="12.75" customHeight="1">
      <c r="A4" s="33"/>
      <c r="B4" s="6" t="s">
        <v>43</v>
      </c>
      <c r="C4" s="6" t="s">
        <v>43</v>
      </c>
      <c r="D4" s="34"/>
      <c r="E4" s="6" t="s">
        <v>43</v>
      </c>
      <c r="F4" s="6" t="s">
        <v>43</v>
      </c>
      <c r="G4" s="34"/>
      <c r="H4" s="6" t="s">
        <v>43</v>
      </c>
      <c r="I4" s="6" t="s">
        <v>43</v>
      </c>
      <c r="J4" s="34"/>
      <c r="K4" s="6" t="s">
        <v>43</v>
      </c>
      <c r="L4" s="6" t="s">
        <v>43</v>
      </c>
      <c r="M4" s="34"/>
      <c r="N4" s="6" t="s">
        <v>43</v>
      </c>
      <c r="O4" s="6" t="s">
        <v>43</v>
      </c>
      <c r="P4" s="34"/>
      <c r="Q4" s="6" t="s">
        <v>20</v>
      </c>
      <c r="R4" s="6" t="s">
        <v>20</v>
      </c>
      <c r="S4" s="34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93713064.84</v>
      </c>
      <c r="C5" s="8">
        <f t="shared" si="0"/>
        <v>53399427.220000006</v>
      </c>
      <c r="D5" s="9">
        <f t="shared" si="0"/>
        <v>147112492.06</v>
      </c>
      <c r="E5" s="8">
        <f t="shared" si="0"/>
        <v>58077231.96</v>
      </c>
      <c r="F5" s="8">
        <f t="shared" si="0"/>
        <v>60379174.68</v>
      </c>
      <c r="G5" s="10">
        <f t="shared" si="0"/>
        <v>118456406.63999999</v>
      </c>
      <c r="H5" s="8">
        <f t="shared" si="0"/>
        <v>59776078.72</v>
      </c>
      <c r="I5" s="8">
        <f t="shared" si="0"/>
        <v>53251895.65</v>
      </c>
      <c r="J5" s="10">
        <f t="shared" si="0"/>
        <v>113027974.37</v>
      </c>
      <c r="K5" s="8">
        <f t="shared" si="0"/>
        <v>68576030.71000001</v>
      </c>
      <c r="L5" s="8">
        <f t="shared" si="0"/>
        <v>58740764.12</v>
      </c>
      <c r="M5" s="10">
        <f t="shared" si="0"/>
        <v>127316794.83</v>
      </c>
      <c r="N5" s="8">
        <f t="shared" si="0"/>
        <v>53143861.78999999</v>
      </c>
      <c r="O5" s="8">
        <f t="shared" si="0"/>
        <v>55017099.63</v>
      </c>
      <c r="P5" s="10">
        <f t="shared" si="0"/>
        <v>108160961.41999999</v>
      </c>
      <c r="Q5" s="8">
        <f t="shared" si="0"/>
        <v>47333897.940000005</v>
      </c>
      <c r="R5" s="8">
        <f t="shared" si="0"/>
        <v>70172202.38</v>
      </c>
      <c r="S5" s="10">
        <f t="shared" si="0"/>
        <v>117506100.32</v>
      </c>
      <c r="T5" s="8">
        <f>SUM(T6+T7+T8+T9+T10+T11+T12)</f>
        <v>731580729.64</v>
      </c>
      <c r="U5" s="8">
        <f>SUM(U6:U12)</f>
        <v>1345655358.96</v>
      </c>
      <c r="V5" s="11">
        <f aca="true" t="shared" si="1" ref="V5:V20">U5-T5</f>
        <v>614074629.32</v>
      </c>
    </row>
    <row r="6" spans="1:22" s="1" customFormat="1" ht="24.75" customHeight="1">
      <c r="A6" s="27" t="s">
        <v>39</v>
      </c>
      <c r="B6" s="13">
        <f>48572486.72-8368.39-338.61</f>
        <v>48563779.72</v>
      </c>
      <c r="C6" s="13">
        <f>16110816.49-38780.57-121.89</f>
        <v>16071914.03</v>
      </c>
      <c r="D6" s="9">
        <f>SUM(B6:C6)</f>
        <v>64635693.75</v>
      </c>
      <c r="E6" s="13">
        <f>17442428.12-58043.73-845.01</f>
        <v>17383539.38</v>
      </c>
      <c r="F6" s="13">
        <f>15087229.89-36175.64-1535.39</f>
        <v>15049518.86</v>
      </c>
      <c r="G6" s="9">
        <f aca="true" t="shared" si="2" ref="G6:G12">SUM(E6:F6)</f>
        <v>32433058.24</v>
      </c>
      <c r="H6" s="13">
        <f>16488935.29-49596.35-654.03</f>
        <v>16438684.91</v>
      </c>
      <c r="I6" s="13">
        <f>15862611.43-23019.54-790.52</f>
        <v>15838801.370000001</v>
      </c>
      <c r="J6" s="9">
        <f aca="true" t="shared" si="3" ref="J6:J12">SUM(H6:I6)</f>
        <v>32277486.28</v>
      </c>
      <c r="K6" s="13">
        <f>17696450.25-38108.67</f>
        <v>17658341.58</v>
      </c>
      <c r="L6" s="13">
        <f>17568065.55-15132.42</f>
        <v>17552933.13</v>
      </c>
      <c r="M6" s="9">
        <f aca="true" t="shared" si="4" ref="M6:M12">SUM(K6:L6)</f>
        <v>35211274.70999999</v>
      </c>
      <c r="N6" s="13">
        <f>18459344.74-22218.21-728.46</f>
        <v>18436398.069999997</v>
      </c>
      <c r="O6" s="13">
        <f>18065966.9-37498.18-83.88</f>
        <v>18028384.84</v>
      </c>
      <c r="P6" s="9">
        <f aca="true" t="shared" si="5" ref="P6:P12">SUM(N6:O6)</f>
        <v>36464782.91</v>
      </c>
      <c r="Q6" s="13">
        <v>16666393.19</v>
      </c>
      <c r="R6" s="13">
        <v>24707821.72</v>
      </c>
      <c r="S6" s="9">
        <f aca="true" t="shared" si="6" ref="S6:S11">SUM(Q6:R6)</f>
        <v>41374214.91</v>
      </c>
      <c r="T6" s="12">
        <f aca="true" t="shared" si="7" ref="T6:T12">D6+G6+J6+M6+P6+S6</f>
        <v>242396510.79999998</v>
      </c>
      <c r="U6" s="12">
        <f aca="true" t="shared" si="8" ref="U6:U20">SUM(B6:R6)</f>
        <v>443418806.68999994</v>
      </c>
      <c r="V6" s="14">
        <f t="shared" si="1"/>
        <v>201022295.88999996</v>
      </c>
    </row>
    <row r="7" spans="1:22" s="1" customFormat="1" ht="12.75" customHeight="1">
      <c r="A7" s="27" t="s">
        <v>40</v>
      </c>
      <c r="B7" s="13">
        <f>1148882.05-7.26</f>
        <v>1148874.79</v>
      </c>
      <c r="C7" s="13">
        <f>897178.96</f>
        <v>897178.96</v>
      </c>
      <c r="D7" s="9">
        <f aca="true" t="shared" si="9" ref="D7:D12">SUM(B7:C7)</f>
        <v>2046053.75</v>
      </c>
      <c r="E7" s="13">
        <v>903151.3</v>
      </c>
      <c r="F7" s="13">
        <v>920106.16</v>
      </c>
      <c r="G7" s="9">
        <f t="shared" si="2"/>
        <v>1823257.46</v>
      </c>
      <c r="H7" s="13">
        <v>902570.7</v>
      </c>
      <c r="I7" s="13">
        <v>834174.35</v>
      </c>
      <c r="J7" s="9">
        <f t="shared" si="3"/>
        <v>1736745.0499999998</v>
      </c>
      <c r="K7" s="13">
        <f>838078.22</f>
        <v>838078.22</v>
      </c>
      <c r="L7" s="13">
        <f>868010.98</f>
        <v>868010.98</v>
      </c>
      <c r="M7" s="9">
        <f t="shared" si="4"/>
        <v>1706089.2</v>
      </c>
      <c r="N7" s="13">
        <v>810895.29</v>
      </c>
      <c r="O7" s="13">
        <v>825504.95</v>
      </c>
      <c r="P7" s="9">
        <f t="shared" si="5"/>
        <v>1636400.24</v>
      </c>
      <c r="Q7" s="13">
        <v>717755.67</v>
      </c>
      <c r="R7" s="13">
        <v>1064068.2</v>
      </c>
      <c r="S7" s="9">
        <f t="shared" si="6"/>
        <v>1781823.87</v>
      </c>
      <c r="T7" s="12">
        <f t="shared" si="7"/>
        <v>10730369.57</v>
      </c>
      <c r="U7" s="12">
        <f t="shared" si="8"/>
        <v>19678915.27</v>
      </c>
      <c r="V7" s="14">
        <f t="shared" si="1"/>
        <v>8948545.7</v>
      </c>
    </row>
    <row r="8" spans="1:22" s="1" customFormat="1" ht="12.75" customHeight="1">
      <c r="A8" s="12" t="s">
        <v>25</v>
      </c>
      <c r="B8" s="13">
        <f>458766.88-4836.07</f>
        <v>453930.81</v>
      </c>
      <c r="C8" s="13">
        <f>723756.88-500679.78</f>
        <v>223077.09999999998</v>
      </c>
      <c r="D8" s="9">
        <f t="shared" si="9"/>
        <v>677007.9099999999</v>
      </c>
      <c r="E8" s="13">
        <f>404207.25-385.15</f>
        <v>403822.1</v>
      </c>
      <c r="F8" s="13">
        <f>448715.84-106.74</f>
        <v>448609.10000000003</v>
      </c>
      <c r="G8" s="9">
        <f t="shared" si="2"/>
        <v>852431.2</v>
      </c>
      <c r="H8" s="13">
        <v>621096.07</v>
      </c>
      <c r="I8" s="13">
        <f>3070801.32-2398179.43</f>
        <v>672621.8899999997</v>
      </c>
      <c r="J8" s="9">
        <f t="shared" si="3"/>
        <v>1293717.9599999995</v>
      </c>
      <c r="K8" s="13">
        <f>942628.13-107.94</f>
        <v>942520.1900000001</v>
      </c>
      <c r="L8" s="13">
        <f>-1872543.04+2897030.49</f>
        <v>1024487.4500000002</v>
      </c>
      <c r="M8" s="9">
        <f t="shared" si="4"/>
        <v>1967007.6400000001</v>
      </c>
      <c r="N8" s="13">
        <f>1068069.44-113.45</f>
        <v>1067955.99</v>
      </c>
      <c r="O8" s="13">
        <f>936110.59-217162.86</f>
        <v>718947.73</v>
      </c>
      <c r="P8" s="9">
        <f t="shared" si="5"/>
        <v>1786903.72</v>
      </c>
      <c r="Q8" s="13">
        <v>428061.53</v>
      </c>
      <c r="R8" s="13">
        <v>634598.54</v>
      </c>
      <c r="S8" s="9">
        <f t="shared" si="6"/>
        <v>1062660.07</v>
      </c>
      <c r="T8" s="12">
        <f t="shared" si="7"/>
        <v>7639728.499999999</v>
      </c>
      <c r="U8" s="12">
        <f t="shared" si="8"/>
        <v>14216796.93</v>
      </c>
      <c r="V8" s="14">
        <f t="shared" si="1"/>
        <v>6577068.430000001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1039.65</v>
      </c>
      <c r="C10" s="13">
        <v>3696.19</v>
      </c>
      <c r="D10" s="9">
        <f t="shared" si="9"/>
        <v>4735.84</v>
      </c>
      <c r="E10" s="13">
        <v>45.15</v>
      </c>
      <c r="F10" s="13">
        <v>629.83</v>
      </c>
      <c r="G10" s="9">
        <f t="shared" si="2"/>
        <v>674.98</v>
      </c>
      <c r="H10" s="13">
        <v>2045.75</v>
      </c>
      <c r="I10" s="13">
        <v>175.34</v>
      </c>
      <c r="J10" s="9">
        <f t="shared" si="3"/>
        <v>2221.09</v>
      </c>
      <c r="K10" s="13">
        <f>978.81</f>
        <v>978.81</v>
      </c>
      <c r="L10" s="13">
        <f>171.02</f>
        <v>171.02</v>
      </c>
      <c r="M10" s="9">
        <f t="shared" si="4"/>
        <v>1149.83</v>
      </c>
      <c r="N10" s="13">
        <v>168.81</v>
      </c>
      <c r="O10" s="13">
        <v>319.6</v>
      </c>
      <c r="P10" s="9">
        <f t="shared" si="5"/>
        <v>488.41</v>
      </c>
      <c r="Q10" s="13">
        <v>219.01</v>
      </c>
      <c r="R10" s="13">
        <v>324.68</v>
      </c>
      <c r="S10" s="9">
        <f>SUM(Q10:R10)</f>
        <v>543.69</v>
      </c>
      <c r="T10" s="12">
        <f>D10+G10+J10+M10+P10+S10</f>
        <v>9813.84</v>
      </c>
      <c r="U10" s="12">
        <f t="shared" si="8"/>
        <v>19083.989999999994</v>
      </c>
      <c r="V10" s="14">
        <f t="shared" si="1"/>
        <v>9270.149999999994</v>
      </c>
    </row>
    <row r="11" spans="1:22" s="1" customFormat="1" ht="12.75" customHeight="1">
      <c r="A11" s="12" t="s">
        <v>28</v>
      </c>
      <c r="B11" s="13">
        <f>43300027.84</f>
        <v>43300027.84</v>
      </c>
      <c r="C11" s="13">
        <f>35968436.54-66195.19</f>
        <v>35902241.35</v>
      </c>
      <c r="D11" s="9">
        <f t="shared" si="9"/>
        <v>79202269.19</v>
      </c>
      <c r="E11" s="13">
        <v>39044485.39</v>
      </c>
      <c r="F11" s="13">
        <v>43506051.74</v>
      </c>
      <c r="G11" s="9">
        <f t="shared" si="2"/>
        <v>82550537.13</v>
      </c>
      <c r="H11" s="13">
        <v>40308424.3</v>
      </c>
      <c r="I11" s="13">
        <f>35445550.02-11884.11</f>
        <v>35433665.910000004</v>
      </c>
      <c r="J11" s="9">
        <f t="shared" si="3"/>
        <v>75742090.21000001</v>
      </c>
      <c r="K11" s="13">
        <f>48816661.51</f>
        <v>48816661.51</v>
      </c>
      <c r="L11" s="13">
        <f>38867929.49</f>
        <v>38867929.49</v>
      </c>
      <c r="M11" s="9">
        <f t="shared" si="4"/>
        <v>87684591</v>
      </c>
      <c r="N11" s="13">
        <v>30877413.38</v>
      </c>
      <c r="O11" s="13">
        <v>35197570.61</v>
      </c>
      <c r="P11" s="9">
        <f t="shared" si="5"/>
        <v>66074983.989999995</v>
      </c>
      <c r="Q11" s="13">
        <v>28907850.22</v>
      </c>
      <c r="R11" s="13">
        <v>42855703.97</v>
      </c>
      <c r="S11" s="9">
        <f t="shared" si="6"/>
        <v>71763554.19</v>
      </c>
      <c r="T11" s="12">
        <f t="shared" si="7"/>
        <v>463018025.71</v>
      </c>
      <c r="U11" s="12">
        <f t="shared" si="8"/>
        <v>854272497.2300001</v>
      </c>
      <c r="V11" s="14">
        <f t="shared" si="1"/>
        <v>391254471.52000016</v>
      </c>
    </row>
    <row r="12" spans="1:22" s="1" customFormat="1" ht="12.75" customHeight="1">
      <c r="A12" s="12" t="s">
        <v>29</v>
      </c>
      <c r="B12" s="13">
        <f>245736.73-324.7</f>
        <v>245412.03</v>
      </c>
      <c r="C12" s="13">
        <f>302301.19-981.6</f>
        <v>301319.59</v>
      </c>
      <c r="D12" s="9">
        <f t="shared" si="9"/>
        <v>546731.62</v>
      </c>
      <c r="E12" s="13">
        <f>380257.47-38068.83</f>
        <v>342188.63999999996</v>
      </c>
      <c r="F12" s="13">
        <f>455311.49-1052.5</f>
        <v>454258.99</v>
      </c>
      <c r="G12" s="9">
        <f t="shared" si="2"/>
        <v>796447.6299999999</v>
      </c>
      <c r="H12" s="13">
        <f>1506239.78-2982.79</f>
        <v>1503256.99</v>
      </c>
      <c r="I12" s="13">
        <f>474779.67-2322.88</f>
        <v>472456.79</v>
      </c>
      <c r="J12" s="9">
        <f t="shared" si="3"/>
        <v>1975713.78</v>
      </c>
      <c r="K12" s="13">
        <f>321832.58-2382.18</f>
        <v>319450.4</v>
      </c>
      <c r="L12" s="13">
        <f>428395.9-1163.85</f>
        <v>427232.05000000005</v>
      </c>
      <c r="M12" s="9">
        <f t="shared" si="4"/>
        <v>746682.4500000001</v>
      </c>
      <c r="N12" s="13">
        <f>1951576.96-546.71</f>
        <v>1951030.25</v>
      </c>
      <c r="O12" s="13">
        <f>248683.24-2311.34</f>
        <v>246371.9</v>
      </c>
      <c r="P12" s="9">
        <f t="shared" si="5"/>
        <v>2197402.15</v>
      </c>
      <c r="Q12" s="13">
        <v>613618.32</v>
      </c>
      <c r="R12" s="13">
        <v>909685.27</v>
      </c>
      <c r="S12" s="9">
        <f>SUM(Q12:R12)</f>
        <v>1523303.5899999999</v>
      </c>
      <c r="T12" s="12">
        <f t="shared" si="7"/>
        <v>7786281.220000001</v>
      </c>
      <c r="U12" s="12">
        <f t="shared" si="8"/>
        <v>14049258.850000001</v>
      </c>
      <c r="V12" s="14">
        <f t="shared" si="1"/>
        <v>6262977.630000001</v>
      </c>
    </row>
    <row r="13" spans="1:22" s="1" customFormat="1" ht="12.75" customHeight="1">
      <c r="A13" s="8" t="s">
        <v>30</v>
      </c>
      <c r="B13" s="8">
        <f>SUM(B14:B17)</f>
        <v>383767.53</v>
      </c>
      <c r="C13" s="8">
        <f>SUM(C14:C17)</f>
        <v>27153.67</v>
      </c>
      <c r="D13" s="10">
        <f>D15+D16+D14+D17</f>
        <v>410921.19999999995</v>
      </c>
      <c r="E13" s="8">
        <f>SUM(E14:E17)</f>
        <v>1311556.48</v>
      </c>
      <c r="F13" s="8">
        <f>SUM(F14:F17)</f>
        <v>1436712.23</v>
      </c>
      <c r="G13" s="10">
        <f>G15+G16+G14+G17+G18</f>
        <v>2748268.71</v>
      </c>
      <c r="H13" s="8">
        <f>SUM(H14:H17)</f>
        <v>2191794.63</v>
      </c>
      <c r="I13" s="8">
        <f>SUM(I14:I17)</f>
        <v>2273703.26</v>
      </c>
      <c r="J13" s="10">
        <f>J15+J16+J14+J17+J18</f>
        <v>4465497.89</v>
      </c>
      <c r="K13" s="8">
        <f>SUM(K14:K17)</f>
        <v>1320621.52</v>
      </c>
      <c r="L13" s="8">
        <f>SUM(L14:L17)</f>
        <v>1557632.0499999998</v>
      </c>
      <c r="M13" s="10">
        <f>M15+M16+M14+M17</f>
        <v>2878253.57</v>
      </c>
      <c r="N13" s="8">
        <f>SUM(N14:N17)</f>
        <v>2733.85</v>
      </c>
      <c r="O13" s="8">
        <f>SUM(O14:O17)</f>
        <v>256367.33000000002</v>
      </c>
      <c r="P13" s="10">
        <f>P15+P16+P14+P17</f>
        <v>259101.18</v>
      </c>
      <c r="Q13" s="8">
        <f>SUM(Q14:Q17)</f>
        <v>5162000.94171</v>
      </c>
      <c r="R13" s="8">
        <f>SUM(R14:R17)</f>
        <v>7652633.512014</v>
      </c>
      <c r="S13" s="10">
        <f>S15+S16+S14+S17</f>
        <v>12814634.453724</v>
      </c>
      <c r="T13" s="8">
        <f>T14+T15+T16+T17</f>
        <v>23576677.003723998</v>
      </c>
      <c r="U13" s="8">
        <f t="shared" si="8"/>
        <v>34338719.553724</v>
      </c>
      <c r="V13" s="11">
        <f t="shared" si="1"/>
        <v>10762042.55</v>
      </c>
    </row>
    <row r="14" spans="1:22" s="1" customFormat="1" ht="12.75" customHeight="1">
      <c r="A14" s="12" t="s">
        <v>31</v>
      </c>
      <c r="B14" s="12">
        <v>318247.45</v>
      </c>
      <c r="C14" s="14">
        <v>21981.78</v>
      </c>
      <c r="D14" s="9">
        <f aca="true" t="shared" si="10" ref="D14:D20">SUM(B14:C14)</f>
        <v>340229.23</v>
      </c>
      <c r="E14" s="12">
        <v>315220.23</v>
      </c>
      <c r="F14" s="12">
        <v>416679.9</v>
      </c>
      <c r="G14" s="9">
        <f aca="true" t="shared" si="11" ref="G14:G20">SUM(E14:F14)</f>
        <v>731900.13</v>
      </c>
      <c r="H14" s="12">
        <v>2000000</v>
      </c>
      <c r="I14" s="12">
        <v>1500000</v>
      </c>
      <c r="J14" s="9">
        <f aca="true" t="shared" si="12" ref="J14:J20">SUM(H14:I14)</f>
        <v>3500000</v>
      </c>
      <c r="K14" s="12">
        <v>0</v>
      </c>
      <c r="L14" s="12">
        <v>500000</v>
      </c>
      <c r="M14" s="9">
        <f aca="true" t="shared" si="13" ref="M14:M20">SUM(K14:L14)</f>
        <v>500000</v>
      </c>
      <c r="N14" s="12">
        <v>0</v>
      </c>
      <c r="O14" s="12">
        <v>0</v>
      </c>
      <c r="P14" s="9">
        <f aca="true" t="shared" si="14" ref="P14:P20">SUM(N14:O14)</f>
        <v>0</v>
      </c>
      <c r="Q14" s="12">
        <v>1385162.06221</v>
      </c>
      <c r="R14" s="12">
        <v>2053075.823714</v>
      </c>
      <c r="S14" s="9">
        <f>SUM(Q14:R14)</f>
        <v>3438237.885924</v>
      </c>
      <c r="T14" s="12">
        <f>D14+G14+J14+M14+P14+S14</f>
        <v>8510367.245924</v>
      </c>
      <c r="U14" s="12">
        <f t="shared" si="8"/>
        <v>13582496.605923997</v>
      </c>
      <c r="V14" s="14">
        <f t="shared" si="1"/>
        <v>5072129.359999998</v>
      </c>
    </row>
    <row r="15" spans="1:22" s="1" customFormat="1" ht="12.75" customHeight="1">
      <c r="A15" s="12" t="s">
        <v>32</v>
      </c>
      <c r="B15" s="12">
        <v>50273.51</v>
      </c>
      <c r="C15" s="14">
        <v>5038.43</v>
      </c>
      <c r="D15" s="9">
        <f t="shared" si="10"/>
        <v>55311.94</v>
      </c>
      <c r="E15" s="12">
        <v>2392.03</v>
      </c>
      <c r="F15" s="12">
        <v>3456.03</v>
      </c>
      <c r="G15" s="9">
        <f t="shared" si="11"/>
        <v>5848.06</v>
      </c>
      <c r="H15" s="12">
        <v>3523.89</v>
      </c>
      <c r="I15" s="12">
        <v>2705.19</v>
      </c>
      <c r="J15" s="9">
        <f t="shared" si="12"/>
        <v>6229.08</v>
      </c>
      <c r="K15" s="12">
        <f>3591.75</f>
        <v>3591.75</v>
      </c>
      <c r="L15" s="12">
        <v>3339.19</v>
      </c>
      <c r="M15" s="9">
        <f t="shared" si="13"/>
        <v>6930.9400000000005</v>
      </c>
      <c r="N15" s="12">
        <v>2600.39</v>
      </c>
      <c r="O15" s="12">
        <v>6220.51</v>
      </c>
      <c r="P15" s="9">
        <f t="shared" si="14"/>
        <v>8820.9</v>
      </c>
      <c r="Q15" s="12">
        <f>1124477.4+141.43</f>
        <v>1124618.8299999998</v>
      </c>
      <c r="R15" s="12">
        <f>1666691.16+1767.77</f>
        <v>1668458.93</v>
      </c>
      <c r="S15" s="9">
        <f aca="true" t="shared" si="15" ref="S15:S21">SUM(Q15:R15)</f>
        <v>2793077.76</v>
      </c>
      <c r="T15" s="12">
        <f aca="true" t="shared" si="16" ref="T15:T20">D15+G15+J15+M15+P15+S15</f>
        <v>2876218.6799999997</v>
      </c>
      <c r="U15" s="12">
        <f t="shared" si="8"/>
        <v>2959359.5999999996</v>
      </c>
      <c r="V15" s="14">
        <f t="shared" si="1"/>
        <v>83140.91999999993</v>
      </c>
    </row>
    <row r="16" spans="1:22" s="1" customFormat="1" ht="12.75" customHeight="1">
      <c r="A16" s="12" t="s">
        <v>33</v>
      </c>
      <c r="B16" s="12">
        <v>11897.57</v>
      </c>
      <c r="C16" s="12">
        <v>133.46</v>
      </c>
      <c r="D16" s="9">
        <f t="shared" si="10"/>
        <v>12031.029999999999</v>
      </c>
      <c r="E16" s="12">
        <v>0</v>
      </c>
      <c r="F16" s="12">
        <v>266.92</v>
      </c>
      <c r="G16" s="9">
        <f t="shared" si="11"/>
        <v>266.92</v>
      </c>
      <c r="H16" s="12">
        <v>2946.47</v>
      </c>
      <c r="I16" s="12">
        <v>4075.46</v>
      </c>
      <c r="J16" s="9">
        <f t="shared" si="12"/>
        <v>7021.93</v>
      </c>
      <c r="K16" s="12">
        <f>6571.79</f>
        <v>6571.79</v>
      </c>
      <c r="L16" s="12">
        <v>133.46</v>
      </c>
      <c r="M16" s="9">
        <f t="shared" si="13"/>
        <v>6705.25</v>
      </c>
      <c r="N16" s="12">
        <v>133.46</v>
      </c>
      <c r="O16" s="12">
        <v>11769.72</v>
      </c>
      <c r="P16" s="9">
        <f t="shared" si="14"/>
        <v>11903.179999999998</v>
      </c>
      <c r="Q16" s="12">
        <v>2219.2</v>
      </c>
      <c r="R16" s="12">
        <v>3289.28</v>
      </c>
      <c r="S16" s="9">
        <f t="shared" si="15"/>
        <v>5508.48</v>
      </c>
      <c r="T16" s="12">
        <f t="shared" si="16"/>
        <v>43436.78999999999</v>
      </c>
      <c r="U16" s="12">
        <f t="shared" si="8"/>
        <v>81365.09999999999</v>
      </c>
      <c r="V16" s="14">
        <f t="shared" si="1"/>
        <v>37928.31</v>
      </c>
    </row>
    <row r="17" spans="1:22" s="1" customFormat="1" ht="12.75" customHeight="1">
      <c r="A17" s="12" t="s">
        <v>34</v>
      </c>
      <c r="B17" s="12">
        <v>3349</v>
      </c>
      <c r="C17" s="12">
        <v>0</v>
      </c>
      <c r="D17" s="9">
        <f t="shared" si="10"/>
        <v>3349</v>
      </c>
      <c r="E17" s="12">
        <v>993944.22</v>
      </c>
      <c r="F17" s="12">
        <v>1016309.38</v>
      </c>
      <c r="G17" s="9">
        <f t="shared" si="11"/>
        <v>2010253.6</v>
      </c>
      <c r="H17" s="12">
        <v>185324.27</v>
      </c>
      <c r="I17" s="12">
        <v>766922.61</v>
      </c>
      <c r="J17" s="9">
        <f t="shared" si="12"/>
        <v>952246.88</v>
      </c>
      <c r="K17" s="12">
        <f>1310457.98</f>
        <v>1310457.98</v>
      </c>
      <c r="L17" s="12">
        <v>1054159.4</v>
      </c>
      <c r="M17" s="9">
        <f t="shared" si="13"/>
        <v>2364617.38</v>
      </c>
      <c r="N17" s="12">
        <v>0</v>
      </c>
      <c r="O17" s="12">
        <v>238377.1</v>
      </c>
      <c r="P17" s="9">
        <f t="shared" si="14"/>
        <v>238377.1</v>
      </c>
      <c r="Q17" s="12">
        <v>2650000.8495</v>
      </c>
      <c r="R17" s="12">
        <v>3927809.4783</v>
      </c>
      <c r="S17" s="9">
        <f t="shared" si="15"/>
        <v>6577810.3278</v>
      </c>
      <c r="T17" s="12">
        <f>D17+G17+J17+M17+P17+S17</f>
        <v>12146654.2878</v>
      </c>
      <c r="U17" s="12">
        <f t="shared" si="8"/>
        <v>17715498.2478</v>
      </c>
      <c r="V17" s="14">
        <f t="shared" si="1"/>
        <v>5568843.960000001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0"/>
        <v>0</v>
      </c>
      <c r="E18" s="12">
        <v>0</v>
      </c>
      <c r="F18" s="12">
        <v>0</v>
      </c>
      <c r="G18" s="9">
        <f t="shared" si="11"/>
        <v>0</v>
      </c>
      <c r="H18" s="12">
        <v>0</v>
      </c>
      <c r="I18" s="12">
        <v>0</v>
      </c>
      <c r="J18" s="9">
        <f t="shared" si="12"/>
        <v>0</v>
      </c>
      <c r="K18" s="12">
        <v>0</v>
      </c>
      <c r="L18" s="12">
        <v>0</v>
      </c>
      <c r="M18" s="9">
        <f t="shared" si="13"/>
        <v>0</v>
      </c>
      <c r="N18" s="12">
        <v>0</v>
      </c>
      <c r="O18" s="12">
        <v>0</v>
      </c>
      <c r="P18" s="9">
        <f t="shared" si="14"/>
        <v>0</v>
      </c>
      <c r="Q18" s="12">
        <v>0</v>
      </c>
      <c r="R18" s="12">
        <v>0</v>
      </c>
      <c r="S18" s="9">
        <f t="shared" si="15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5134081.34</v>
      </c>
      <c r="C19" s="12">
        <v>4403729.75</v>
      </c>
      <c r="D19" s="9">
        <f t="shared" si="10"/>
        <v>9537811.09</v>
      </c>
      <c r="E19" s="12">
        <v>4472197.5</v>
      </c>
      <c r="F19" s="12">
        <v>5213371.14</v>
      </c>
      <c r="G19" s="9">
        <f t="shared" si="11"/>
        <v>9685568.64</v>
      </c>
      <c r="H19" s="12">
        <v>4665180.82</v>
      </c>
      <c r="I19" s="12">
        <v>4054715.4</v>
      </c>
      <c r="J19" s="9">
        <f t="shared" si="12"/>
        <v>8719896.22</v>
      </c>
      <c r="K19" s="12">
        <v>5035300.26</v>
      </c>
      <c r="L19" s="12">
        <v>4255623.5</v>
      </c>
      <c r="M19" s="9">
        <f t="shared" si="13"/>
        <v>9290923.76</v>
      </c>
      <c r="N19" s="12">
        <v>3356204.56</v>
      </c>
      <c r="O19" s="12">
        <v>3897438.42</v>
      </c>
      <c r="P19" s="9">
        <f t="shared" si="14"/>
        <v>7253642.98</v>
      </c>
      <c r="Q19" s="12">
        <v>3314506.5999999996</v>
      </c>
      <c r="R19" s="12">
        <v>4912734.44</v>
      </c>
      <c r="S19" s="9">
        <f t="shared" si="15"/>
        <v>8227241.04</v>
      </c>
      <c r="T19" s="12">
        <f t="shared" si="16"/>
        <v>52715083.73</v>
      </c>
      <c r="U19" s="12">
        <f t="shared" si="8"/>
        <v>97202926.42</v>
      </c>
      <c r="V19" s="14">
        <f t="shared" si="1"/>
        <v>44487842.690000005</v>
      </c>
    </row>
    <row r="20" spans="1:22" s="1" customFormat="1" ht="12.75" customHeight="1">
      <c r="A20" s="12" t="s">
        <v>37</v>
      </c>
      <c r="B20" s="12">
        <f>508423.99+2101853.76</f>
        <v>2610277.75</v>
      </c>
      <c r="C20" s="12">
        <f>71335.8</f>
        <v>71335.8</v>
      </c>
      <c r="D20" s="9">
        <f t="shared" si="10"/>
        <v>2681613.55</v>
      </c>
      <c r="E20" s="12">
        <v>65870.49</v>
      </c>
      <c r="F20" s="12">
        <v>46061.31</v>
      </c>
      <c r="G20" s="9">
        <f t="shared" si="11"/>
        <v>111931.8</v>
      </c>
      <c r="H20" s="12">
        <f>77089.11</f>
        <v>77089.11</v>
      </c>
      <c r="I20" s="12">
        <v>66398.17</v>
      </c>
      <c r="J20" s="9">
        <f t="shared" si="12"/>
        <v>143487.28</v>
      </c>
      <c r="K20" s="12">
        <v>87142.13</v>
      </c>
      <c r="L20" s="12">
        <v>99240.72</v>
      </c>
      <c r="M20" s="9">
        <f t="shared" si="13"/>
        <v>186382.85</v>
      </c>
      <c r="N20" s="12">
        <v>144719.59</v>
      </c>
      <c r="O20" s="12">
        <f>59485.78+154022.84</f>
        <v>213508.62</v>
      </c>
      <c r="P20" s="9">
        <f t="shared" si="14"/>
        <v>358228.20999999996</v>
      </c>
      <c r="Q20" s="12">
        <v>1088696.62</v>
      </c>
      <c r="R20" s="12">
        <v>1614986.3299999991</v>
      </c>
      <c r="S20" s="9">
        <f t="shared" si="15"/>
        <v>2703682.9499999993</v>
      </c>
      <c r="T20" s="12">
        <f t="shared" si="16"/>
        <v>6185326.639999999</v>
      </c>
      <c r="U20" s="12">
        <f t="shared" si="8"/>
        <v>9666970.329999998</v>
      </c>
      <c r="V20" s="14">
        <f t="shared" si="1"/>
        <v>3481643.6899999995</v>
      </c>
    </row>
    <row r="21" spans="1:24" s="2" customFormat="1" ht="12.75" customHeight="1">
      <c r="A21" s="8" t="s">
        <v>19</v>
      </c>
      <c r="B21" s="8">
        <f>B5+B13-B19-B20</f>
        <v>86352473.28</v>
      </c>
      <c r="C21" s="8">
        <f>C5+C13-C19-C20</f>
        <v>48951515.34000001</v>
      </c>
      <c r="D21" s="10">
        <f>D5+D13-D19-D20</f>
        <v>135303988.61999997</v>
      </c>
      <c r="E21" s="8">
        <f>E5+E13-E19-E20</f>
        <v>54850720.449999996</v>
      </c>
      <c r="F21" s="8">
        <f>F5+F13-F19-F20</f>
        <v>56556454.45999999</v>
      </c>
      <c r="G21" s="10">
        <f>SUM(E21:F21)</f>
        <v>111407174.91</v>
      </c>
      <c r="H21" s="8">
        <f>H5+H13-H19-H20</f>
        <v>57225603.42</v>
      </c>
      <c r="I21" s="8">
        <f>I5+I13-I19-I20</f>
        <v>51404485.339999996</v>
      </c>
      <c r="J21" s="10">
        <f>SUM(H21:I21)</f>
        <v>108630088.75999999</v>
      </c>
      <c r="K21" s="8">
        <f>K5+K13-K19-K20</f>
        <v>64774209.84</v>
      </c>
      <c r="L21" s="8">
        <f>L5+L13-L19-L20</f>
        <v>55943531.949999996</v>
      </c>
      <c r="M21" s="10">
        <f>SUM(K21:L21)</f>
        <v>120717741.78999999</v>
      </c>
      <c r="N21" s="8">
        <f>N5+N13-N19-N20</f>
        <v>49645671.48999999</v>
      </c>
      <c r="O21" s="8">
        <f>O5+O13-O19-O20</f>
        <v>51162519.92</v>
      </c>
      <c r="P21" s="10">
        <f>SUM(N21:O21)</f>
        <v>100808191.41</v>
      </c>
      <c r="Q21" s="8">
        <f>Q5+Q13-Q19-Q20</f>
        <v>48092695.66171001</v>
      </c>
      <c r="R21" s="8">
        <f>R5+R13-R19-R20</f>
        <v>71297115.122014</v>
      </c>
      <c r="S21" s="10">
        <f t="shared" si="15"/>
        <v>119389810.78372401</v>
      </c>
      <c r="T21" s="8">
        <f>T5+T13-T19-T20</f>
        <v>696256996.273724</v>
      </c>
      <c r="U21" s="8">
        <f>SUM(B21:R21)</f>
        <v>1273124181.763724</v>
      </c>
      <c r="V21" s="11">
        <f>U21-T21</f>
        <v>576867185.4900001</v>
      </c>
      <c r="W21" s="1"/>
      <c r="X21" s="1"/>
    </row>
    <row r="22" spans="1:20" s="15" customFormat="1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2" s="4" customFormat="1" ht="12.75" customHeight="1">
      <c r="A23" s="33" t="s">
        <v>0</v>
      </c>
      <c r="B23" s="29" t="s">
        <v>42</v>
      </c>
      <c r="C23" s="30"/>
      <c r="D23" s="30"/>
      <c r="E23" s="30"/>
      <c r="F23" s="30"/>
      <c r="G23" s="30"/>
      <c r="H23" s="30"/>
      <c r="I23" s="30"/>
      <c r="J23" s="30"/>
      <c r="K23" s="29" t="s">
        <v>42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3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0.12809668303608107</v>
      </c>
      <c r="C25" s="16">
        <f>C5/$T$5</f>
        <v>0.07299184499607729</v>
      </c>
      <c r="D25" s="17">
        <f aca="true" t="shared" si="17" ref="D25:D36">SUM(B25:C25)</f>
        <v>0.20108852803215838</v>
      </c>
      <c r="E25" s="16">
        <f>E5/$T$5</f>
        <v>0.07938595100581579</v>
      </c>
      <c r="F25" s="16">
        <f>F5/$T$5</f>
        <v>0.08253248374887033</v>
      </c>
      <c r="G25" s="17">
        <f aca="true" t="shared" si="18" ref="G25:G36">SUM(E25:F25)</f>
        <v>0.16191843475468612</v>
      </c>
      <c r="H25" s="16">
        <f>H5/$T$5</f>
        <v>0.08170810998454664</v>
      </c>
      <c r="I25" s="16">
        <f>I5/$T$5</f>
        <v>0.07279018362909104</v>
      </c>
      <c r="J25" s="17">
        <f aca="true" t="shared" si="19" ref="J25:J36">SUM(H25:I25)</f>
        <v>0.15449829361363768</v>
      </c>
      <c r="K25" s="16">
        <f>K5/$T$5</f>
        <v>0.09373679203352617</v>
      </c>
      <c r="L25" s="16">
        <f>L5/$T$5</f>
        <v>0.08029293520197758</v>
      </c>
      <c r="M25" s="17">
        <f aca="true" t="shared" si="20" ref="M25:M36">SUM(K25:L25)</f>
        <v>0.17402972723550375</v>
      </c>
      <c r="N25" s="16">
        <f>N5/$T$5</f>
        <v>0.0726425118061151</v>
      </c>
      <c r="O25" s="16">
        <f>O5/$T$5</f>
        <v>0.07520304650051828</v>
      </c>
      <c r="P25" s="17">
        <f aca="true" t="shared" si="21" ref="P25:P36">SUM(N25:O25)</f>
        <v>0.14784555830663337</v>
      </c>
      <c r="Q25" s="16">
        <f>Q5/$T$5</f>
        <v>0.06470085394853459</v>
      </c>
      <c r="R25" s="16">
        <f>R5/$T$5</f>
        <v>0.09591860410884619</v>
      </c>
      <c r="S25" s="17">
        <f aca="true" t="shared" si="22" ref="S25:S36">SUM(Q25:R25)</f>
        <v>0.16061945805738076</v>
      </c>
      <c r="T25" s="16">
        <f aca="true" t="shared" si="23" ref="T25:T36">SUM(B25+C25+E25+F25+H25+I25+K25+L25+N25+O25+Q25+R25)</f>
        <v>1</v>
      </c>
      <c r="U25" s="16">
        <f aca="true" t="shared" si="24" ref="U25:U36">SUM(B25:R25)</f>
        <v>1.8393805419426197</v>
      </c>
      <c r="V25" s="16">
        <f aca="true" t="shared" si="25" ref="V25:V36">U25-T25</f>
        <v>0.8393805419426197</v>
      </c>
    </row>
    <row r="26" spans="1:23" s="22" customFormat="1" ht="24.75" customHeight="1">
      <c r="A26" s="27" t="s">
        <v>39</v>
      </c>
      <c r="B26" s="19">
        <f>B6/$T$6</f>
        <v>0.20034850980206437</v>
      </c>
      <c r="C26" s="19">
        <f>C6/$T$6</f>
        <v>0.06630423011022979</v>
      </c>
      <c r="D26" s="20">
        <f t="shared" si="17"/>
        <v>0.26665273991229416</v>
      </c>
      <c r="E26" s="19">
        <f>E6/$T$6</f>
        <v>0.07171530366764668</v>
      </c>
      <c r="F26" s="19">
        <f>F6/$T$6</f>
        <v>0.06208636754023771</v>
      </c>
      <c r="G26" s="20">
        <f t="shared" si="18"/>
        <v>0.1338016712078844</v>
      </c>
      <c r="H26" s="19">
        <f>H6/$T$6</f>
        <v>0.06781733307854199</v>
      </c>
      <c r="I26" s="19">
        <f>I6/$T$6</f>
        <v>0.06534253037606019</v>
      </c>
      <c r="J26" s="20">
        <f t="shared" si="19"/>
        <v>0.13315986345460218</v>
      </c>
      <c r="K26" s="19">
        <f>K6/$T$6</f>
        <v>0.07284899242864844</v>
      </c>
      <c r="L26" s="19">
        <f>L6/$T$6</f>
        <v>0.07241413282752583</v>
      </c>
      <c r="M26" s="20">
        <f t="shared" si="20"/>
        <v>0.14526312525617427</v>
      </c>
      <c r="N26" s="19">
        <f>N6/$T$6</f>
        <v>0.0760588426341325</v>
      </c>
      <c r="O26" s="19">
        <f>O6/$T$6</f>
        <v>0.07437559550877826</v>
      </c>
      <c r="P26" s="20">
        <f t="shared" si="21"/>
        <v>0.15043443814291074</v>
      </c>
      <c r="Q26" s="19">
        <f>Q6/$T$6</f>
        <v>0.06875673719475009</v>
      </c>
      <c r="R26" s="19">
        <f>R6/$T$6</f>
        <v>0.10193142483138416</v>
      </c>
      <c r="S26" s="20">
        <f t="shared" si="22"/>
        <v>0.17068816202613424</v>
      </c>
      <c r="T26" s="16">
        <f t="shared" si="23"/>
        <v>1</v>
      </c>
      <c r="U26" s="19">
        <f t="shared" si="24"/>
        <v>1.8293118379738655</v>
      </c>
      <c r="V26" s="19">
        <f t="shared" si="25"/>
        <v>0.8293118379738655</v>
      </c>
      <c r="W26" s="21"/>
    </row>
    <row r="27" spans="1:22" s="22" customFormat="1" ht="12.75" customHeight="1">
      <c r="A27" s="19" t="s">
        <v>24</v>
      </c>
      <c r="B27" s="19">
        <f>B7/$T$7</f>
        <v>0.1070675881669563</v>
      </c>
      <c r="C27" s="19">
        <f>C7/$T$7</f>
        <v>0.08361118917174443</v>
      </c>
      <c r="D27" s="20">
        <f>SUM(B27:C27)</f>
        <v>0.19067877733870073</v>
      </c>
      <c r="E27" s="19">
        <f>E7/$T$7</f>
        <v>0.08416777205186234</v>
      </c>
      <c r="F27" s="19">
        <f>F7/$T$7</f>
        <v>0.08574785369671102</v>
      </c>
      <c r="G27" s="20">
        <f t="shared" si="18"/>
        <v>0.16991562574857336</v>
      </c>
      <c r="H27" s="19">
        <f>H7/$T$7</f>
        <v>0.0841136639434498</v>
      </c>
      <c r="I27" s="19">
        <f>I7/$T$7</f>
        <v>0.07773957313941797</v>
      </c>
      <c r="J27" s="20">
        <f t="shared" si="19"/>
        <v>0.16185323708286775</v>
      </c>
      <c r="K27" s="19">
        <f>K7/$T$7</f>
        <v>0.07810338819485785</v>
      </c>
      <c r="L27" s="19">
        <f>L7/$T$7</f>
        <v>0.08089292492094473</v>
      </c>
      <c r="M27" s="20">
        <f t="shared" si="20"/>
        <v>0.1589963131158026</v>
      </c>
      <c r="N27" s="19">
        <f>N7/$T$7</f>
        <v>0.07557011757238107</v>
      </c>
      <c r="O27" s="19">
        <f>O7/$T$7</f>
        <v>0.07693164197325963</v>
      </c>
      <c r="P27" s="20">
        <f t="shared" si="21"/>
        <v>0.1525017595456407</v>
      </c>
      <c r="Q27" s="19">
        <f>Q7/$T$7</f>
        <v>0.06689011644172103</v>
      </c>
      <c r="R27" s="19">
        <f>R7/$T$7</f>
        <v>0.0991641707266938</v>
      </c>
      <c r="S27" s="20">
        <f t="shared" si="22"/>
        <v>0.16605428716841483</v>
      </c>
      <c r="T27" s="16">
        <f t="shared" si="23"/>
        <v>0.9999999999999999</v>
      </c>
      <c r="U27" s="19">
        <f t="shared" si="24"/>
        <v>1.8339457128315848</v>
      </c>
      <c r="V27" s="19">
        <f t="shared" si="25"/>
        <v>0.8339457128315849</v>
      </c>
    </row>
    <row r="28" spans="1:22" s="22" customFormat="1" ht="12.75" customHeight="1">
      <c r="A28" s="19" t="s">
        <v>25</v>
      </c>
      <c r="B28" s="19">
        <f>B8/$T$8</f>
        <v>0.059417138972936025</v>
      </c>
      <c r="C28" s="19">
        <f>C8/$T$8</f>
        <v>0.029199610954761025</v>
      </c>
      <c r="D28" s="20">
        <f t="shared" si="17"/>
        <v>0.08861674992769705</v>
      </c>
      <c r="E28" s="19">
        <f>E8/$T$8</f>
        <v>0.05285817421391349</v>
      </c>
      <c r="F28" s="19">
        <f>F8/$T$8</f>
        <v>0.058720555318163475</v>
      </c>
      <c r="G28" s="20">
        <f t="shared" si="18"/>
        <v>0.11157872953207697</v>
      </c>
      <c r="H28" s="19">
        <f>H8/$T$8</f>
        <v>0.08129818618554312</v>
      </c>
      <c r="I28" s="19">
        <f>I8/$T$8</f>
        <v>0.08804264313843087</v>
      </c>
      <c r="J28" s="20">
        <f t="shared" si="19"/>
        <v>0.16934082932397398</v>
      </c>
      <c r="K28" s="19">
        <f>K8/$T$8</f>
        <v>0.12337090120414622</v>
      </c>
      <c r="L28" s="19">
        <f>L8/$T$8</f>
        <v>0.13409998143258628</v>
      </c>
      <c r="M28" s="20">
        <f t="shared" si="20"/>
        <v>0.2574708826367325</v>
      </c>
      <c r="N28" s="19">
        <f>N8/$T$8</f>
        <v>0.1397897831055122</v>
      </c>
      <c r="O28" s="19">
        <f>O8/$T$8</f>
        <v>0.09410645024885375</v>
      </c>
      <c r="P28" s="20">
        <f t="shared" si="21"/>
        <v>0.23389623335436596</v>
      </c>
      <c r="Q28" s="19">
        <f>Q8/$T$8</f>
        <v>0.05603098722683667</v>
      </c>
      <c r="R28" s="19">
        <f>R8/$T$8</f>
        <v>0.08306558799831697</v>
      </c>
      <c r="S28" s="20">
        <f t="shared" si="22"/>
        <v>0.13909657522515365</v>
      </c>
      <c r="T28" s="16">
        <f t="shared" si="23"/>
        <v>1</v>
      </c>
      <c r="U28" s="19">
        <f t="shared" si="24"/>
        <v>1.8609034247748466</v>
      </c>
      <c r="V28" s="19">
        <f t="shared" si="25"/>
        <v>0.8609034247748466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7"/>
        <v>0</v>
      </c>
      <c r="E29" s="19">
        <v>0</v>
      </c>
      <c r="F29" s="19">
        <v>0</v>
      </c>
      <c r="G29" s="20">
        <f t="shared" si="18"/>
        <v>0</v>
      </c>
      <c r="H29" s="19">
        <v>0</v>
      </c>
      <c r="I29" s="19">
        <v>0</v>
      </c>
      <c r="J29" s="20">
        <f t="shared" si="19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1"/>
        <v>0</v>
      </c>
      <c r="Q29" s="19">
        <v>0</v>
      </c>
      <c r="R29" s="19">
        <v>0</v>
      </c>
      <c r="S29" s="20">
        <f t="shared" si="22"/>
        <v>0</v>
      </c>
      <c r="T29" s="16">
        <f t="shared" si="23"/>
        <v>0</v>
      </c>
      <c r="U29" s="19">
        <f t="shared" si="24"/>
        <v>0</v>
      </c>
      <c r="V29" s="19">
        <f t="shared" si="25"/>
        <v>0</v>
      </c>
    </row>
    <row r="30" spans="1:22" s="22" customFormat="1" ht="12.75" customHeight="1">
      <c r="A30" s="19" t="s">
        <v>27</v>
      </c>
      <c r="B30" s="19">
        <f>B10/$T$10</f>
        <v>0.10593712552884499</v>
      </c>
      <c r="C30" s="19">
        <f>C10/$T$10</f>
        <v>0.37663035060689803</v>
      </c>
      <c r="D30" s="20">
        <f t="shared" si="17"/>
        <v>0.482567476135743</v>
      </c>
      <c r="E30" s="19">
        <f>E10/$T$10</f>
        <v>0.004600645618840331</v>
      </c>
      <c r="F30" s="19">
        <f>F10/$T$10</f>
        <v>0.06417773267141098</v>
      </c>
      <c r="G30" s="20">
        <f t="shared" si="18"/>
        <v>0.06877837829025131</v>
      </c>
      <c r="H30" s="19">
        <f>H10/$T$10</f>
        <v>0.20845560962885068</v>
      </c>
      <c r="I30" s="19">
        <f>I10/$T$10</f>
        <v>0.017866604713343604</v>
      </c>
      <c r="J30" s="20">
        <f t="shared" si="19"/>
        <v>0.2263222143421943</v>
      </c>
      <c r="K30" s="19">
        <f>K10/$T$10</f>
        <v>0.09973771734611528</v>
      </c>
      <c r="L30" s="19">
        <f>L10/$T$10</f>
        <v>0.01742641004948114</v>
      </c>
      <c r="M30" s="20">
        <f t="shared" si="20"/>
        <v>0.11716412739559642</v>
      </c>
      <c r="N30" s="19">
        <f>N10/$T$10</f>
        <v>0.017201217871903353</v>
      </c>
      <c r="O30" s="19">
        <f>O10/$T$10</f>
        <v>0.03256625337278782</v>
      </c>
      <c r="P30" s="20">
        <f t="shared" si="21"/>
        <v>0.04976747124469117</v>
      </c>
      <c r="Q30" s="19">
        <f>Q10/$T$10</f>
        <v>0.02231644290104587</v>
      </c>
      <c r="R30" s="19">
        <f>R10/$T$10</f>
        <v>0.03308388969047794</v>
      </c>
      <c r="S30" s="20">
        <f t="shared" si="22"/>
        <v>0.055400332591523806</v>
      </c>
      <c r="T30" s="16">
        <f t="shared" si="23"/>
        <v>0.9999999999999999</v>
      </c>
      <c r="U30" s="19">
        <f t="shared" si="24"/>
        <v>1.9445996674084765</v>
      </c>
      <c r="V30" s="19">
        <f t="shared" si="25"/>
        <v>0.9445996674084766</v>
      </c>
    </row>
    <row r="31" spans="1:22" s="22" customFormat="1" ht="12.75" customHeight="1">
      <c r="A31" s="19" t="s">
        <v>28</v>
      </c>
      <c r="B31" s="19">
        <f>B11/$T$11</f>
        <v>0.09351693764752027</v>
      </c>
      <c r="C31" s="19">
        <f>C11/$T$11</f>
        <v>0.0775396191000272</v>
      </c>
      <c r="D31" s="20">
        <f t="shared" si="17"/>
        <v>0.17105655674754747</v>
      </c>
      <c r="E31" s="19">
        <f>E11/$T$11</f>
        <v>0.08432605907756723</v>
      </c>
      <c r="F31" s="19">
        <f>F11/$T$11</f>
        <v>0.09396189635011953</v>
      </c>
      <c r="G31" s="20">
        <f t="shared" si="18"/>
        <v>0.17828795542768677</v>
      </c>
      <c r="H31" s="19">
        <f>H11/$T$11</f>
        <v>0.08705584245492462</v>
      </c>
      <c r="I31" s="19">
        <f>I11/$T$11</f>
        <v>0.07652761651269493</v>
      </c>
      <c r="J31" s="20">
        <f t="shared" si="19"/>
        <v>0.16358345896761955</v>
      </c>
      <c r="K31" s="19">
        <f>K11/$T$11</f>
        <v>0.10543144931591739</v>
      </c>
      <c r="L31" s="19">
        <f>L11/$T$11</f>
        <v>0.08394474368551685</v>
      </c>
      <c r="M31" s="20">
        <f t="shared" si="20"/>
        <v>0.18937619300143424</v>
      </c>
      <c r="N31" s="19">
        <f>N11/$T$11</f>
        <v>0.06668728141340076</v>
      </c>
      <c r="O31" s="19">
        <f>O11/$T$11</f>
        <v>0.07601771131054223</v>
      </c>
      <c r="P31" s="20">
        <f t="shared" si="21"/>
        <v>0.142704992723943</v>
      </c>
      <c r="Q31" s="19">
        <f>Q11/$T$11</f>
        <v>0.0624335309098867</v>
      </c>
      <c r="R31" s="19">
        <f>R11/$T$11</f>
        <v>0.0925573122218823</v>
      </c>
      <c r="S31" s="20">
        <f t="shared" si="22"/>
        <v>0.154990843131769</v>
      </c>
      <c r="T31" s="16">
        <f t="shared" si="23"/>
        <v>1</v>
      </c>
      <c r="U31" s="19">
        <f t="shared" si="24"/>
        <v>1.845009156868231</v>
      </c>
      <c r="V31" s="19">
        <f t="shared" si="25"/>
        <v>0.845009156868231</v>
      </c>
    </row>
    <row r="32" spans="1:22" s="22" customFormat="1" ht="12.75" customHeight="1">
      <c r="A32" s="19" t="s">
        <v>29</v>
      </c>
      <c r="B32" s="19">
        <f>B12/$T$12</f>
        <v>0.03151851610106628</v>
      </c>
      <c r="C32" s="19">
        <f>C12/$T$12</f>
        <v>0.03869878077689056</v>
      </c>
      <c r="D32" s="20">
        <f t="shared" si="17"/>
        <v>0.07021729687795683</v>
      </c>
      <c r="E32" s="19">
        <f>E12/$T$12</f>
        <v>0.043947634349636285</v>
      </c>
      <c r="F32" s="19">
        <f>F12/$T$12</f>
        <v>0.05834094314923806</v>
      </c>
      <c r="G32" s="20">
        <f t="shared" si="18"/>
        <v>0.10228857749887435</v>
      </c>
      <c r="H32" s="19">
        <f>H12/$T$12</f>
        <v>0.19306482100064706</v>
      </c>
      <c r="I32" s="19">
        <f>I12/$T$12</f>
        <v>0.06067810507363102</v>
      </c>
      <c r="J32" s="20">
        <f t="shared" si="19"/>
        <v>0.25374292607427806</v>
      </c>
      <c r="K32" s="19">
        <f>K12/$T$12</f>
        <v>0.04102733910759005</v>
      </c>
      <c r="L32" s="19">
        <f>L12/$T$12</f>
        <v>0.054869845813249475</v>
      </c>
      <c r="M32" s="20">
        <f t="shared" si="20"/>
        <v>0.09589718492083953</v>
      </c>
      <c r="N32" s="19">
        <f>N12/$T$12</f>
        <v>0.2505727952631025</v>
      </c>
      <c r="O32" s="19">
        <f>O12/$T$12</f>
        <v>0.031641793179414596</v>
      </c>
      <c r="P32" s="20">
        <f t="shared" si="21"/>
        <v>0.2822145884425171</v>
      </c>
      <c r="Q32" s="19">
        <f>Q12/$T$12</f>
        <v>0.07880762364758255</v>
      </c>
      <c r="R32" s="19">
        <f>R12/$T$12</f>
        <v>0.11683180253795147</v>
      </c>
      <c r="S32" s="20">
        <f t="shared" si="22"/>
        <v>0.19563942618553404</v>
      </c>
      <c r="T32" s="16">
        <f t="shared" si="23"/>
        <v>0.9999999999999999</v>
      </c>
      <c r="U32" s="19">
        <f t="shared" si="24"/>
        <v>1.804360573814466</v>
      </c>
      <c r="V32" s="19">
        <f t="shared" si="25"/>
        <v>0.804360573814466</v>
      </c>
    </row>
    <row r="33" spans="1:22" s="18" customFormat="1" ht="12.75" customHeight="1">
      <c r="A33" s="16" t="s">
        <v>30</v>
      </c>
      <c r="B33" s="16">
        <f>B13/$T$13</f>
        <v>0.016277422383967975</v>
      </c>
      <c r="C33" s="16">
        <f>C13/$T$13</f>
        <v>0.001151717436503499</v>
      </c>
      <c r="D33" s="17">
        <f t="shared" si="17"/>
        <v>0.017429139820471475</v>
      </c>
      <c r="E33" s="16">
        <f>E13/$T$13</f>
        <v>0.05562940357510247</v>
      </c>
      <c r="F33" s="16">
        <f>F13/$T$13</f>
        <v>0.06093785946904509</v>
      </c>
      <c r="G33" s="17">
        <f t="shared" si="18"/>
        <v>0.11656726304414756</v>
      </c>
      <c r="H33" s="16">
        <f>H13/$T$13</f>
        <v>0.09296452717462263</v>
      </c>
      <c r="I33" s="16">
        <f>I13/$T$13</f>
        <v>0.0964386651961539</v>
      </c>
      <c r="J33" s="17">
        <f t="shared" si="19"/>
        <v>0.18940319237077652</v>
      </c>
      <c r="K33" s="16">
        <f>K13/$T$13</f>
        <v>0.05601389541840033</v>
      </c>
      <c r="L33" s="16">
        <f>L13/$T$13</f>
        <v>0.06606664924637037</v>
      </c>
      <c r="M33" s="17">
        <f t="shared" si="20"/>
        <v>0.1220805446647707</v>
      </c>
      <c r="N33" s="16">
        <f>N13/$T$13</f>
        <v>0.00011595569636756619</v>
      </c>
      <c r="O33" s="16">
        <f>O13/$T$13</f>
        <v>0.010873768595952099</v>
      </c>
      <c r="P33" s="17">
        <f t="shared" si="21"/>
        <v>0.010989724292319666</v>
      </c>
      <c r="Q33" s="16">
        <f>Q13/$T$13</f>
        <v>0.21894522883333595</v>
      </c>
      <c r="R33" s="16">
        <f>R13/$T$13</f>
        <v>0.3245849069741782</v>
      </c>
      <c r="S33" s="17">
        <f t="shared" si="22"/>
        <v>0.5435301358075142</v>
      </c>
      <c r="T33" s="16">
        <f t="shared" si="23"/>
        <v>1.0000000000000002</v>
      </c>
      <c r="U33" s="16">
        <f t="shared" si="24"/>
        <v>1.456469864192486</v>
      </c>
      <c r="V33" s="16">
        <f t="shared" si="25"/>
        <v>0.4564698641924858</v>
      </c>
    </row>
    <row r="34" spans="1:22" s="22" customFormat="1" ht="12.75" customHeight="1">
      <c r="A34" s="19" t="s">
        <v>31</v>
      </c>
      <c r="B34" s="19">
        <f>B14/$T$14</f>
        <v>0.037395266362027224</v>
      </c>
      <c r="C34" s="19">
        <f>C14/$T$14</f>
        <v>0.0025829414130780393</v>
      </c>
      <c r="D34" s="20">
        <f t="shared" si="17"/>
        <v>0.039978207775105266</v>
      </c>
      <c r="E34" s="19">
        <f>E14/$T$14</f>
        <v>0.03703955668317054</v>
      </c>
      <c r="F34" s="19">
        <f>F14/$T$14</f>
        <v>0.048961447603752574</v>
      </c>
      <c r="G34" s="20">
        <f t="shared" si="18"/>
        <v>0.08600100428692312</v>
      </c>
      <c r="H34" s="19">
        <f>H14/$T$14</f>
        <v>0.23500748466029953</v>
      </c>
      <c r="I34" s="19">
        <f>I14/$T$14</f>
        <v>0.17625561349522464</v>
      </c>
      <c r="J34" s="20">
        <f t="shared" si="19"/>
        <v>0.4112630981555242</v>
      </c>
      <c r="K34" s="19">
        <f>K14/$T$14</f>
        <v>0</v>
      </c>
      <c r="L34" s="19">
        <f>L14/$T$14</f>
        <v>0.05875187116507488</v>
      </c>
      <c r="M34" s="20">
        <f t="shared" si="20"/>
        <v>0.05875187116507488</v>
      </c>
      <c r="N34" s="19">
        <f>N14/$T$14</f>
        <v>0</v>
      </c>
      <c r="O34" s="19">
        <f>O14/$T$14</f>
        <v>0</v>
      </c>
      <c r="P34" s="20">
        <f t="shared" si="21"/>
        <v>0</v>
      </c>
      <c r="Q34" s="19">
        <f>Q14/$T$14</f>
        <v>0.1627617260434227</v>
      </c>
      <c r="R34" s="19">
        <f>R14/$T$14</f>
        <v>0.24124409257394985</v>
      </c>
      <c r="S34" s="20">
        <f t="shared" si="22"/>
        <v>0.40400581861737256</v>
      </c>
      <c r="T34" s="16">
        <f t="shared" si="23"/>
        <v>1</v>
      </c>
      <c r="U34" s="19">
        <f t="shared" si="24"/>
        <v>1.5959941813826275</v>
      </c>
      <c r="V34" s="19">
        <f t="shared" si="25"/>
        <v>0.5959941813826275</v>
      </c>
    </row>
    <row r="35" spans="1:22" s="22" customFormat="1" ht="12.75" customHeight="1">
      <c r="A35" s="19" t="s">
        <v>32</v>
      </c>
      <c r="B35" s="19">
        <f>B15/$T$15</f>
        <v>0.01747902909802394</v>
      </c>
      <c r="C35" s="19">
        <f>C15/$T$15</f>
        <v>0.0017517548422291732</v>
      </c>
      <c r="D35" s="20">
        <f t="shared" si="17"/>
        <v>0.019230783940253113</v>
      </c>
      <c r="E35" s="19">
        <f>E15/$T$15</f>
        <v>0.0008316579043982846</v>
      </c>
      <c r="F35" s="19">
        <f>F15/$T$15</f>
        <v>0.0012015880517123965</v>
      </c>
      <c r="G35" s="20">
        <f t="shared" si="18"/>
        <v>0.002033245956110681</v>
      </c>
      <c r="H35" s="19">
        <f>H15/$T$15</f>
        <v>0.0012251815289649674</v>
      </c>
      <c r="I35" s="19">
        <f>I15/$T$15</f>
        <v>0.0009405369691848327</v>
      </c>
      <c r="J35" s="20">
        <f t="shared" si="19"/>
        <v>0.0021657184981498</v>
      </c>
      <c r="K35" s="19">
        <f>K15/$T$15</f>
        <v>0.0012487750062175386</v>
      </c>
      <c r="L35" s="19">
        <f>L15/$T$15</f>
        <v>0.0011609652712498205</v>
      </c>
      <c r="M35" s="20">
        <f t="shared" si="20"/>
        <v>0.002409740277467359</v>
      </c>
      <c r="N35" s="19">
        <f>N15/$T$15</f>
        <v>0.0009041002403892322</v>
      </c>
      <c r="O35" s="19">
        <f>O15/$T$15</f>
        <v>0.002162738891606114</v>
      </c>
      <c r="P35" s="20">
        <f t="shared" si="21"/>
        <v>0.003066839131995346</v>
      </c>
      <c r="Q35" s="19">
        <f>Q15/$T$15</f>
        <v>0.39100602392304884</v>
      </c>
      <c r="R35" s="19">
        <f>R15/$T$15</f>
        <v>0.5800876482729749</v>
      </c>
      <c r="S35" s="20">
        <f t="shared" si="22"/>
        <v>0.9710936721960237</v>
      </c>
      <c r="T35" s="16">
        <f t="shared" si="23"/>
        <v>1</v>
      </c>
      <c r="U35" s="19">
        <f t="shared" si="24"/>
        <v>1.0289063278039763</v>
      </c>
      <c r="V35" s="19">
        <f t="shared" si="25"/>
        <v>0.028906327803976284</v>
      </c>
    </row>
    <row r="36" spans="1:22" s="22" customFormat="1" ht="12.75" customHeight="1">
      <c r="A36" s="19" t="s">
        <v>35</v>
      </c>
      <c r="B36" s="19">
        <f>B16/$T$16</f>
        <v>0.27390536915826424</v>
      </c>
      <c r="C36" s="19">
        <f>C16/$T$16</f>
        <v>0.003072510652835995</v>
      </c>
      <c r="D36" s="20">
        <f t="shared" si="17"/>
        <v>0.2769778798111002</v>
      </c>
      <c r="E36" s="19">
        <f>E16/$T$16</f>
        <v>0</v>
      </c>
      <c r="F36" s="19">
        <f>F16/$T$16</f>
        <v>0.00614502130567199</v>
      </c>
      <c r="G36" s="20">
        <f t="shared" si="18"/>
        <v>0.00614502130567199</v>
      </c>
      <c r="H36" s="19">
        <f>H16/$T$16</f>
        <v>0.06783351163840606</v>
      </c>
      <c r="I36" s="19">
        <f>I16/$T$16</f>
        <v>0.09382507316954132</v>
      </c>
      <c r="J36" s="20">
        <f t="shared" si="19"/>
        <v>0.16165858480794737</v>
      </c>
      <c r="K36" s="19">
        <f>K16/$T$16</f>
        <v>0.15129548016784852</v>
      </c>
      <c r="L36" s="19">
        <f>L16/$T$16</f>
        <v>0.003072510652835995</v>
      </c>
      <c r="M36" s="20">
        <f t="shared" si="20"/>
        <v>0.15436799082068453</v>
      </c>
      <c r="N36" s="19">
        <f>N16/$T$16</f>
        <v>0.003072510652835995</v>
      </c>
      <c r="O36" s="19">
        <f>O16/$T$16</f>
        <v>0.2709620116956157</v>
      </c>
      <c r="P36" s="20">
        <f t="shared" si="21"/>
        <v>0.27403452234845166</v>
      </c>
      <c r="Q36" s="19">
        <f>Q16/$T$16</f>
        <v>0.05109033149088595</v>
      </c>
      <c r="R36" s="19">
        <f>R16/$T$16</f>
        <v>0.07572566941525836</v>
      </c>
      <c r="S36" s="20">
        <f t="shared" si="22"/>
        <v>0.1268160009061443</v>
      </c>
      <c r="T36" s="16">
        <f t="shared" si="23"/>
        <v>1</v>
      </c>
      <c r="U36" s="19">
        <f t="shared" si="24"/>
        <v>1.873183999093856</v>
      </c>
      <c r="V36" s="19">
        <f t="shared" si="25"/>
        <v>0.8731839990938559</v>
      </c>
    </row>
    <row r="37" spans="1:22" s="22" customFormat="1" ht="12.75" customHeight="1">
      <c r="A37" s="12" t="s">
        <v>34</v>
      </c>
      <c r="B37" s="19">
        <f>B17/$T$17</f>
        <v>0.00027571378263096765</v>
      </c>
      <c r="C37" s="19">
        <f>C17/$T$17</f>
        <v>0</v>
      </c>
      <c r="D37" s="20">
        <f>SUM(B37:C37)</f>
        <v>0.00027571378263096765</v>
      </c>
      <c r="E37" s="19">
        <f>E17/$T$17</f>
        <v>0.08182864157073355</v>
      </c>
      <c r="F37" s="19">
        <f>F17/$T$17</f>
        <v>0.08366990250317513</v>
      </c>
      <c r="G37" s="20">
        <f>SUM(E37:F37)</f>
        <v>0.16549854407390868</v>
      </c>
      <c r="H37" s="19">
        <f>H17/$T$17</f>
        <v>0.01525722767841826</v>
      </c>
      <c r="I37" s="19">
        <f>I17/$T$17</f>
        <v>0.0631385887692787</v>
      </c>
      <c r="J37" s="20">
        <f>SUM(H37:I37)</f>
        <v>0.07839581644769697</v>
      </c>
      <c r="K37" s="19">
        <f>K17/$T$17</f>
        <v>0.107886332231931</v>
      </c>
      <c r="L37" s="19">
        <f>L17/$T$17</f>
        <v>0.08678598855478986</v>
      </c>
      <c r="M37" s="20">
        <f>SUM(K37:L37)</f>
        <v>0.19467232078672086</v>
      </c>
      <c r="N37" s="19">
        <f>N17/$T$17</f>
        <v>0</v>
      </c>
      <c r="O37" s="19">
        <f>O17/$T$17</f>
        <v>0.01962491846330261</v>
      </c>
      <c r="P37" s="20">
        <f>SUM(N37:O37)</f>
        <v>0.01962491846330261</v>
      </c>
      <c r="Q37" s="19">
        <f>Q17/$T$17</f>
        <v>0.21816714189039194</v>
      </c>
      <c r="R37" s="19">
        <f>R17/$T$17</f>
        <v>0.32336554455534805</v>
      </c>
      <c r="S37" s="20">
        <f>SUM(Q37:R37)</f>
        <v>0.5415326864457399</v>
      </c>
      <c r="T37" s="16">
        <f>SUM(B37+C37+E37+F37+H37+I37+K37+L37+N37+O37+Q37+R37)</f>
        <v>1</v>
      </c>
      <c r="U37" s="19">
        <f>SUM(B37:R37)</f>
        <v>1.45846731355426</v>
      </c>
      <c r="V37" s="19">
        <f>U37-T37</f>
        <v>0.45846731355426007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39" ht="11.25" hidden="1">
      <c r="B39" s="19">
        <f>B19/$T$17</f>
        <v>0.42267452570512604</v>
      </c>
    </row>
    <row r="40" spans="2:3" ht="11.25" hidden="1">
      <c r="B40" s="19">
        <f>B20/$T$17</f>
        <v>0.2148968504538523</v>
      </c>
      <c r="C40" s="28"/>
    </row>
    <row r="43" spans="1:20" ht="11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1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1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1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</sheetData>
  <sheetProtection/>
  <mergeCells count="13"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2021-11-17T18:40:02Z</cp:lastPrinted>
  <dcterms:created xsi:type="dcterms:W3CDTF">2005-01-14T10:04:29Z</dcterms:created>
  <dcterms:modified xsi:type="dcterms:W3CDTF">2021-11-25T12:32:16Z</dcterms:modified>
  <cp:category/>
  <cp:version/>
  <cp:contentType/>
  <cp:contentStatus/>
  <cp:revision>2</cp:revision>
</cp:coreProperties>
</file>