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4" firstSheet="5" activeTab="8"/>
  </bookViews>
  <sheets>
    <sheet name="METAS ANUAIS PARA A RECEITA" sheetId="1" r:id="rId1"/>
    <sheet name="EVOLUÇÃO DA RECEITA" sheetId="2" r:id="rId2"/>
    <sheet name="VARIAÇÃO DA RECEITA" sheetId="3" r:id="rId3"/>
    <sheet name="RECEITA CORRENTE LÍQUIDA" sheetId="4" r:id="rId4"/>
    <sheet name="METAS ANUAIS DE DESPESA" sheetId="5" r:id="rId5"/>
    <sheet name="VARIAÇÃO DA DESPESA" sheetId="6" r:id="rId6"/>
    <sheet name="META DO RESULTADO PRIMÁRIO" sheetId="7" r:id="rId7"/>
    <sheet name="META DO RESULTADO NOMINAL" sheetId="8" r:id="rId8"/>
    <sheet name="MONTANTE DA DÍVIDA PÚBLICA" sheetId="9" r:id="rId9"/>
    <sheet name="Plan1" sheetId="10" r:id="rId10"/>
  </sheets>
  <definedNames>
    <definedName name="Excel_BuiltIn_Print_Titles_7_1">'META DO RESULTADO PRIMÁRIO'!#REF!</definedName>
    <definedName name="Excel_BuiltIn_Print_Titles_7_1_1">'META DO RESULTADO PRIMÁRIO'!#REF!</definedName>
  </definedNames>
  <calcPr fullCalcOnLoad="1"/>
</workbook>
</file>

<file path=xl/sharedStrings.xml><?xml version="1.0" encoding="utf-8"?>
<sst xmlns="http://schemas.openxmlformats.org/spreadsheetml/2006/main" count="415" uniqueCount="255">
  <si>
    <t>PREVISÃO</t>
  </si>
  <si>
    <t>RECEITAS CORRENTES (I)</t>
  </si>
  <si>
    <t xml:space="preserve">       IPTU        </t>
  </si>
  <si>
    <t xml:space="preserve">       ISS</t>
  </si>
  <si>
    <t xml:space="preserve">       ITBI</t>
  </si>
  <si>
    <t xml:space="preserve">       Outras Receitas Tributárias</t>
  </si>
  <si>
    <t xml:space="preserve">  Receita Patrimonial</t>
  </si>
  <si>
    <t xml:space="preserve">  Receita Agropecuária</t>
  </si>
  <si>
    <t xml:space="preserve">  Receita de Serviços</t>
  </si>
  <si>
    <t xml:space="preserve">  Transferências Correntes</t>
  </si>
  <si>
    <t xml:space="preserve">       Cota-Parte do FPM</t>
  </si>
  <si>
    <t xml:space="preserve">       Cota-Parte do ICMS</t>
  </si>
  <si>
    <t xml:space="preserve">       Cota-Parte IPVA</t>
  </si>
  <si>
    <t xml:space="preserve">       Transferências do FUNDEB</t>
  </si>
  <si>
    <t xml:space="preserve">       Outras Transferência Corrente</t>
  </si>
  <si>
    <t xml:space="preserve">  Outras Receitas Correntes</t>
  </si>
  <si>
    <t>RECEITAS DE CAPITAL (II)</t>
  </si>
  <si>
    <t xml:space="preserve">  Operações de Crédito</t>
  </si>
  <si>
    <t xml:space="preserve">  Amortizações de Empréstimos</t>
  </si>
  <si>
    <t xml:space="preserve">  Alienações de Bens</t>
  </si>
  <si>
    <t>PRONTO</t>
  </si>
  <si>
    <t>NOTA:</t>
  </si>
  <si>
    <t>FONTES DE RECEITA</t>
  </si>
  <si>
    <t>EVOLUÇÃO DA RECEITA</t>
  </si>
  <si>
    <t>PROJEÇÃO DA RECEITA</t>
  </si>
  <si>
    <t>RECEITAS CORRENTES</t>
  </si>
  <si>
    <t>RECEITA PATRIMONIAL</t>
  </si>
  <si>
    <t>RECEITA AGROPECUÁRIA</t>
  </si>
  <si>
    <t>RECEITA DE SERVIÇOS</t>
  </si>
  <si>
    <t>TRANSFERÊNCIAS CORRENTES</t>
  </si>
  <si>
    <t>OUTRAS RECEITAS CORRENTES</t>
  </si>
  <si>
    <t>RECEITA DE CAPITAL</t>
  </si>
  <si>
    <t>OPERAÇÕES DE CRÉDITO</t>
  </si>
  <si>
    <t>ALIENAÇÃO DE BENS</t>
  </si>
  <si>
    <t>AMORT EMPRÉST CONCEDIDOS</t>
  </si>
  <si>
    <t>TRANSFERÊNCIAS DE CAPITAL</t>
  </si>
  <si>
    <t>OUTRAS RECEITAS DE CAPITAL</t>
  </si>
  <si>
    <t>TOTAL</t>
  </si>
  <si>
    <t>NOTAS:</t>
  </si>
  <si>
    <t>1. A Evolução da Receita foi elaborada com base na receita arrecadada nos períodos.</t>
  </si>
  <si>
    <t>METAS ANUAIS</t>
  </si>
  <si>
    <t>VALOR NOMINAL</t>
  </si>
  <si>
    <t>VARIAÇÃO</t>
  </si>
  <si>
    <t>-</t>
  </si>
  <si>
    <t>Receita Patrimonial</t>
  </si>
  <si>
    <t>Transferências Correntes</t>
  </si>
  <si>
    <t>Outras Receitas Correntes</t>
  </si>
  <si>
    <t>Operações de Crédito</t>
  </si>
  <si>
    <t>Amortização de Empréstimos</t>
  </si>
  <si>
    <t>Alienação de Bens</t>
  </si>
  <si>
    <t>ESPECIFICAÇÃO</t>
  </si>
  <si>
    <t xml:space="preserve">       IPTU</t>
  </si>
  <si>
    <t xml:space="preserve">  Receita  de Contribuições</t>
  </si>
  <si>
    <t xml:space="preserve">  Receita Serviços</t>
  </si>
  <si>
    <t xml:space="preserve">       Cota-Parte do IPVA</t>
  </si>
  <si>
    <t xml:space="preserve">       Outras Transferências Correntes</t>
  </si>
  <si>
    <t>DEDUÇÕES (II)</t>
  </si>
  <si>
    <t xml:space="preserve">  Contribuições de  Empregadores e Trabalhadores  para Seguridade. Social</t>
  </si>
  <si>
    <t xml:space="preserve">       - Servidor</t>
  </si>
  <si>
    <t xml:space="preserve">  Outras Receitas Diretamente Arrecadadas pelo RPPS</t>
  </si>
  <si>
    <t xml:space="preserve">  Compensação Financeira  entre Regimes Previdência</t>
  </si>
  <si>
    <t xml:space="preserve">  Dedução de Receita para Formação do FUNDEB</t>
  </si>
  <si>
    <t>RECEITA CORRENTE LÍQUIDA (I-II)</t>
  </si>
  <si>
    <t>CATEGORIA ECONÔMICA E GRUPO DE NATUREZA DE DESPESA</t>
  </si>
  <si>
    <t xml:space="preserve">       Pessoal e Encargos Sociais</t>
  </si>
  <si>
    <t xml:space="preserve">       Juros e Encargos da Dívida</t>
  </si>
  <si>
    <t xml:space="preserve">       Outras Despesas Correntes</t>
  </si>
  <si>
    <t xml:space="preserve">  DESPESAS DE CAPITAL (II)</t>
  </si>
  <si>
    <t xml:space="preserve">       Investimentos</t>
  </si>
  <si>
    <t xml:space="preserve">       Inversões Financeiras</t>
  </si>
  <si>
    <t xml:space="preserve">       Amortização da Dívida</t>
  </si>
  <si>
    <t xml:space="preserve">  RESERVA DE CONTINGÊNCIA(III)</t>
  </si>
  <si>
    <t>TOTAL DA DESPESA (I+II+III)</t>
  </si>
  <si>
    <t xml:space="preserve"> A projeção da despesa observou a metodologia constante na Demonstrativo da Variação da Despesa.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</si>
  <si>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</si>
  <si>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</si>
  <si>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</si>
  <si>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</si>
  <si>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</si>
  <si>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</si>
  <si>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de Contingência</t>
  </si>
  <si>
    <t>(b)</t>
  </si>
  <si>
    <r>
      <t>(c)</t>
    </r>
    <r>
      <rPr>
        <b/>
        <sz val="2"/>
        <rFont val="Arial"/>
        <family val="2"/>
      </rPr>
      <t>.</t>
    </r>
  </si>
  <si>
    <t>(d)</t>
  </si>
  <si>
    <t>(e)</t>
  </si>
  <si>
    <t>(f)</t>
  </si>
  <si>
    <t>(g)</t>
  </si>
  <si>
    <t>(h)</t>
  </si>
  <si>
    <t>DÍVIDA CONSOLIDADA (I)</t>
  </si>
  <si>
    <t>Ativo Disponível</t>
  </si>
  <si>
    <t>Haveres Financeiros</t>
  </si>
  <si>
    <t>( - ) Restos a Pagar Processados</t>
  </si>
  <si>
    <t xml:space="preserve">OBRIGAÇÕES NÃO-INTEGRANTES DA DC </t>
  </si>
  <si>
    <t>DÍVIDA CONSOLIDADA LÍQUIDA</t>
  </si>
  <si>
    <t>RECEITA DE PRIVATIZAÇÕES</t>
  </si>
  <si>
    <t>PASSIVOS RECONHECIDOS</t>
  </si>
  <si>
    <t>DÍVIDA FISCAL LÍQUIDA</t>
  </si>
  <si>
    <t>RESULTADO NOMINAL</t>
  </si>
  <si>
    <t>(b-a*)</t>
  </si>
  <si>
    <t>DÍVIDA CONSOLIDADA ( I )</t>
  </si>
  <si>
    <t>Dívida Mobiliária</t>
  </si>
  <si>
    <t>Outras Dívidas</t>
  </si>
  <si>
    <t>DEDUÇÕES ( II )</t>
  </si>
  <si>
    <t>Insuficiência Financeira</t>
  </si>
  <si>
    <t>DCL (III ) = ( I – II )</t>
  </si>
  <si>
    <t>RECEITAS INTRA-ORÇAMENTÁRIAS</t>
  </si>
  <si>
    <t xml:space="preserve">  Remuneração dos investimentos do RPPS</t>
  </si>
  <si>
    <t>RECEITAS CORRENTES INTRAORÇAMENTÁRIAS (III)</t>
  </si>
  <si>
    <t>( - ) DEDUÇÃO PARA FORMAÇÃO DO FUNDEB (IV)</t>
  </si>
  <si>
    <t xml:space="preserve">  Transferências de Capital</t>
  </si>
  <si>
    <t xml:space="preserve">       Cota-Parte do ITR</t>
  </si>
  <si>
    <t xml:space="preserve">       Transferências da LC 87/1996</t>
  </si>
  <si>
    <t>FONTE: Superintendência de Gestão Orçamentária e Financeira - PMSM</t>
  </si>
  <si>
    <t xml:space="preserve">  DESPESAS CORRENTES (I)</t>
  </si>
  <si>
    <t>( - ) DEDUÇÃO DA RECEITA POR RENÚNCIA (V)</t>
  </si>
  <si>
    <t>RECEITA LÍQUIDA TOTAL (I+II+III-IV-V)</t>
  </si>
  <si>
    <t>DEDUÇÃO FUNDEB</t>
  </si>
  <si>
    <t xml:space="preserve">  Dedução da Receita por Renúncia</t>
  </si>
  <si>
    <t xml:space="preserve">  Remuneração do Fundo de Assistência à Saúde</t>
  </si>
  <si>
    <t>DEDUÇÃO RENÚNCIA DE RECEITA E OUTRAS</t>
  </si>
  <si>
    <t>IMPOSTOS, TAXAS E CONTRIBUIÇÕES DE MELHORIA</t>
  </si>
  <si>
    <t xml:space="preserve">  Impostos, Taxas e Contribuições de Melhoria</t>
  </si>
  <si>
    <t xml:space="preserve">  Contribuições</t>
  </si>
  <si>
    <t>CONTRIBUIÇÕES</t>
  </si>
  <si>
    <t>Impostos, Taxas e Contribuições de Melhoria</t>
  </si>
  <si>
    <t>Contribuições</t>
  </si>
  <si>
    <t>JUROS NOMINAIS</t>
  </si>
  <si>
    <t>JUROS E ENCARGOS ATIVOS</t>
  </si>
  <si>
    <t>JUROS E ENCARGOS PASSIVOS</t>
  </si>
  <si>
    <t>RESULTADO NOMINAL ACIMA DA LINHA</t>
  </si>
  <si>
    <t>RESULTADO NOMINAL ABAIXO DA LINHA</t>
  </si>
  <si>
    <t xml:space="preserve">AJUSTE METODOLÓGICO </t>
  </si>
  <si>
    <t>VARIAÇÃO DO SALDO DO RPP</t>
  </si>
  <si>
    <t>RESULTADO NOMINAL AJUSTADO ABAIXO DA LINHA</t>
  </si>
  <si>
    <t>RESULTADO PRIMÁRIO ABAIXO DA LINHA</t>
  </si>
  <si>
    <t>(b-c)</t>
  </si>
  <si>
    <t>(c-d)</t>
  </si>
  <si>
    <t>(d-e)</t>
  </si>
  <si>
    <t>(e-f)</t>
  </si>
  <si>
    <t>(f-g)</t>
  </si>
  <si>
    <t>(h-g*)</t>
  </si>
  <si>
    <t>ACIMA DA LINHA</t>
  </si>
  <si>
    <t>RECEITAS PRIMÁRIAS</t>
  </si>
  <si>
    <t>2022</t>
  </si>
  <si>
    <t>2023</t>
  </si>
  <si>
    <t>2024</t>
  </si>
  <si>
    <t xml:space="preserve">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</si>
  <si>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</si>
  <si>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</si>
  <si>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</si>
  <si>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</si>
  <si>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</si>
  <si>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</si>
  <si>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</si>
  <si>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</si>
  <si>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    Outras Receitas Patrimoniais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</si>
  <si>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</si>
  <si>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</si>
  <si>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</si>
  <si>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</si>
  <si>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</si>
  <si>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do FUNDEB</t>
  </si>
  <si>
    <t xml:space="preserve">         Outras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</si>
  <si>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</si>
  <si>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</si>
  <si>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</si>
  <si>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</si>
  <si>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</si>
  <si>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</si>
  <si>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</si>
  <si>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</t>
  </si>
  <si>
    <t xml:space="preserve">         Receitas de Alienação de Investimentos Temporários (VIII)</t>
  </si>
  <si>
    <r>
      <t xml:space="preserve">        </t>
    </r>
    <r>
      <rPr>
        <sz val="8"/>
        <color indexed="8"/>
        <rFont val="Calibri"/>
        <family val="2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</si>
  <si>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</si>
  <si>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</si>
  <si>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</si>
  <si>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</si>
  <si>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Outras Receitas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</si>
  <si>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</si>
  <si>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</si>
  <si>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</si>
  <si>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</si>
  <si>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</si>
  <si>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</si>
  <si>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</si>
  <si>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</si>
  <si>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</si>
  <si>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</si>
  <si>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</si>
  <si>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</si>
  <si>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</si>
  <si>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</si>
  <si>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</si>
  <si>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</si>
  <si>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</si>
  <si>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</si>
  <si>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</si>
  <si>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</si>
  <si>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</si>
  <si>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(XII - XXIII)</t>
  </si>
  <si>
    <t>JUROS, ENCARGOS E VARIAÇÕES MONETÁRIAS ATIVOS (XXV)</t>
  </si>
  <si>
    <t>JUROS, ENCARGOS E VARIAÇÕES MONETÁRIAS PASSIVOS (XXVI)</t>
  </si>
  <si>
    <t>RESULTADO NOMINAL - Acima da Linha (XXVII) = - (XXIV + (XXV - XXVI))</t>
  </si>
  <si>
    <t>ABAIXO DA LINHA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</si>
  <si>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</si>
  <si>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</si>
  <si>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</si>
  <si>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</si>
  <si>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</si>
  <si>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</si>
  <si>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</si>
  <si>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 (XXXIa) = (XXVIII - XXIX)</t>
  </si>
  <si>
    <t>RESULTADO NOMINAL - Abaixo da Linha (XXXII) = (XXXIb - XXXIa)</t>
  </si>
  <si>
    <t>AJUSTE METODOLÓGICO</t>
  </si>
  <si>
    <t>VARIAÇÃO SALDO RPP = (XXXIII) = (XXXb - XXXa)</t>
  </si>
  <si>
    <t xml:space="preserve">      Restos a Pagar Processados (saldo exercício anterior) (XXXa)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</si>
  <si>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</si>
  <si>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</si>
  <si>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</si>
  <si>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</si>
  <si>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</si>
  <si>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</si>
  <si>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- XXXVIII - (XXV - XXVI)</t>
  </si>
  <si>
    <t>2019</t>
  </si>
  <si>
    <t>2020</t>
  </si>
  <si>
    <t>2021</t>
  </si>
  <si>
    <t>Restos Pagos</t>
  </si>
  <si>
    <t xml:space="preserve">DÍVIDA CONSOLIDADA LÍQUIDA (XXXIb) </t>
  </si>
  <si>
    <t xml:space="preserve">( - ) Transferências obrigatórias da União relativas às emendas individuais (art. 166-A, § 1º, da CF) (IV)    </t>
  </si>
  <si>
    <t>RECEITA CORRENTE LÍQUIDA AJUSTADA PARA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</si>
  <si>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</si>
  <si>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 CÁLCULO DOS LIMITES DA DESPESA COM PESSOAL (VII) = (V - VI)</t>
  </si>
  <si>
    <t>Obs.: O valor elevado em 2023, refere-se a projeção de venda de imóveis Municipais.</t>
  </si>
  <si>
    <t>1. Os valores nominais  de 2019, 2020 e 2021 são da despesa liquidada nos períodos.</t>
  </si>
  <si>
    <t>2. O valor nominal de 2022 é o executado até março/2022, acrescido da previsão para o restante do ano.</t>
  </si>
  <si>
    <t>3. Os valores nominais de 2023 a 2025 foram apurados conforme os compromissos assumidos pelo Município.</t>
  </si>
  <si>
    <t>2. O valor nominal de 2022 é o executado até março/2022, acrescido da previsão para o restante do ano, ressaltando que o município iniciou o pagamento do contrato com o FINISA, razão pela qual houve aumento significativo dos valores.</t>
  </si>
  <si>
    <t>1. O valor nominal de 2019 foi extraído do valor constante no orçamento sendo R$ 1.500.000,00  do Município, R$ 50.000,00 da Câmara e R$ 20.954.500,00 do IPASSP-SM.</t>
  </si>
  <si>
    <t>2. O valor nominal de 2020 foi extraído do valor constante no orçamento sendo R$ 1.675.680,00  do Município, R$ 50.000,00 da Câmara e R$ 5.030.000,00 do IPASSP-SM.</t>
  </si>
  <si>
    <t>3. O valor nominal de 2021 foi extraído do valor constante no orçamento sendo R$ 3.206.430,78  do Município, R$ 50.000,00 da Câmara e R$ 12.558.000,00 do IPASSP-SM.</t>
  </si>
  <si>
    <t>4. O valor previsto na LOA 2022 para o Município foi de R$ 3.552.053,33; para a Câmara R$ 50.000,00 e R$ 13.011.800,00 para o IPASSP-SM.</t>
  </si>
  <si>
    <t>5. O valor em  2023 para o Município é R$ 3.850.000,00, para a Câmara R$ 50.000,00 e R$ 24.421.000,00  para o IPASSP-SM.</t>
  </si>
  <si>
    <t>6. Os valores previstos para 2024 e 2025 foram os seguintes: Para o IPASSP o índice da inflação de cada ano 3,15 e 3,00% respectivamente; 0,50% da RCL projetada do exercício correspondente para o Município e R$ 50.000,00 para a Câmara, nos dois exercícios.</t>
  </si>
  <si>
    <t>2. O valor nominal de 2022 é o executado até março2022, acrescido da previsão para o restante do ano.</t>
  </si>
  <si>
    <t>2. O valor nominal de 2022 é o previsto na LOA 2022</t>
  </si>
  <si>
    <t>3. Os valores nominais de 2023 a 2025 foram apurados conforme a receita prevista correspondente.</t>
  </si>
  <si>
    <t>2. O valor nominal de 2022 é o valor empenhado até 31/03/2022.</t>
  </si>
  <si>
    <t>3. Os valores nominais de 2023 a 2025 é a diferença da receita prevista das despesas correntes e demais obrigações.</t>
  </si>
  <si>
    <t>3. Para o cálculo do valor nominal dos anos de 2023 a 2025 foi aplicado o percentual de 3,70%, 3,15% e 3% respectivamente, referente o índice da inflação conforme Relatório de Mercado FOCUS - BACEN de 11/03/2022.</t>
  </si>
  <si>
    <t>A projeção da receita observou a metodologia constante na Memória de Cálculo.</t>
  </si>
  <si>
    <t>2. A projeção da receita observou a metodologia constante na Memória de Cálculo.</t>
  </si>
  <si>
    <t>2025</t>
  </si>
  <si>
    <t xml:space="preserve">           (-) Depósitos Restituíveis e Valores Vinculados</t>
  </si>
  <si>
    <t>(-) Depósitos Restituíveis e Valores Vinculados</t>
  </si>
  <si>
    <t>(-) Restos à Pagar Processados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</si>
</sst>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_(* #,##0.00_);_(* \(#,##0.00\);_(* \-??_);_(@_)"/>
    <numFmt numFmtId="182" formatCode="0.0000%"/>
  </numFmts>
  <fonts count="4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16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0" fontId="0" fillId="0" borderId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80" fontId="2" fillId="0" borderId="10" xfId="61" applyFont="1" applyFill="1" applyBorder="1" applyAlignment="1" applyProtection="1">
      <alignment horizontal="right"/>
      <protection/>
    </xf>
    <xf numFmtId="181" fontId="2" fillId="0" borderId="10" xfId="61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180" fontId="3" fillId="0" borderId="10" xfId="6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80" fontId="2" fillId="0" borderId="10" xfId="61" applyFont="1" applyFill="1" applyBorder="1" applyAlignment="1" applyProtection="1">
      <alignment horizontal="right"/>
      <protection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80" fontId="3" fillId="0" borderId="10" xfId="61" applyFont="1" applyFill="1" applyBorder="1" applyAlignment="1" applyProtection="1">
      <alignment horizontal="right"/>
      <protection/>
    </xf>
    <xf numFmtId="181" fontId="3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wrapText="1"/>
    </xf>
    <xf numFmtId="4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7" fillId="36" borderId="18" xfId="0" applyNumberFormat="1" applyFont="1" applyFill="1" applyBorder="1" applyAlignment="1">
      <alignment horizontal="center" vertical="center" wrapText="1"/>
    </xf>
    <xf numFmtId="0" fontId="9" fillId="37" borderId="10" xfId="48" applyNumberFormat="1" applyFont="1" applyFill="1" applyBorder="1" applyAlignment="1">
      <alignment horizontal="center" vertical="center"/>
      <protection/>
    </xf>
    <xf numFmtId="49" fontId="9" fillId="37" borderId="10" xfId="61" applyNumberFormat="1" applyFont="1" applyFill="1" applyBorder="1" applyAlignment="1">
      <alignment horizontal="center" vertical="center"/>
    </xf>
    <xf numFmtId="0" fontId="10" fillId="0" borderId="10" xfId="48" applyNumberFormat="1" applyFont="1" applyFill="1" applyBorder="1" applyAlignment="1">
      <alignment vertical="center"/>
      <protection/>
    </xf>
    <xf numFmtId="4" fontId="10" fillId="0" borderId="10" xfId="61" applyNumberFormat="1" applyFont="1" applyFill="1" applyBorder="1" applyAlignment="1">
      <alignment horizontal="right" vertical="center"/>
    </xf>
    <xf numFmtId="0" fontId="10" fillId="37" borderId="10" xfId="48" applyNumberFormat="1" applyFont="1" applyFill="1" applyBorder="1" applyAlignment="1">
      <alignment vertical="center"/>
      <protection/>
    </xf>
    <xf numFmtId="4" fontId="9" fillId="37" borderId="10" xfId="6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48" applyNumberFormat="1" applyFont="1" applyFill="1" applyBorder="1" applyAlignment="1">
      <alignment horizontal="center" vertical="center"/>
      <protection/>
    </xf>
    <xf numFmtId="4" fontId="10" fillId="0" borderId="0" xfId="61" applyNumberFormat="1" applyFont="1" applyFill="1" applyBorder="1" applyAlignment="1">
      <alignment horizontal="right" vertical="center"/>
    </xf>
    <xf numFmtId="4" fontId="10" fillId="37" borderId="10" xfId="61" applyNumberFormat="1" applyFont="1" applyFill="1" applyBorder="1" applyAlignment="1">
      <alignment horizontal="right" vertical="center"/>
    </xf>
    <xf numFmtId="0" fontId="9" fillId="0" borderId="0" xfId="48" applyNumberFormat="1" applyFont="1" applyFill="1" applyBorder="1" applyAlignment="1">
      <alignment horizontal="center" vertical="center"/>
      <protection/>
    </xf>
    <xf numFmtId="0" fontId="9" fillId="37" borderId="10" xfId="48" applyNumberFormat="1" applyFont="1" applyFill="1" applyBorder="1" applyAlignment="1">
      <alignment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vertical="center"/>
      <protection/>
    </xf>
    <xf numFmtId="0" fontId="9" fillId="37" borderId="10" xfId="48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vertical="center"/>
      <protection/>
    </xf>
    <xf numFmtId="4" fontId="10" fillId="0" borderId="10" xfId="61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9" fillId="37" borderId="10" xfId="48" applyFont="1" applyFill="1" applyBorder="1" applyAlignment="1">
      <alignment vertical="center"/>
      <protection/>
    </xf>
    <xf numFmtId="0" fontId="9" fillId="0" borderId="0" xfId="48" applyFont="1" applyFill="1" applyBorder="1" applyAlignment="1">
      <alignment vertical="center"/>
      <protection/>
    </xf>
    <xf numFmtId="0" fontId="9" fillId="37" borderId="10" xfId="48" applyFont="1" applyFill="1" applyBorder="1" applyAlignment="1">
      <alignment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vertical="center"/>
    </xf>
    <xf numFmtId="0" fontId="9" fillId="39" borderId="10" xfId="48" applyFont="1" applyFill="1" applyBorder="1" applyAlignment="1">
      <alignment horizontal="center" vertical="center"/>
      <protection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38" sqref="E38"/>
    </sheetView>
  </sheetViews>
  <sheetFormatPr defaultColWidth="11.140625" defaultRowHeight="12.75"/>
  <cols>
    <col min="1" max="2" width="11.140625" style="1" customWidth="1"/>
    <col min="3" max="3" width="18.57421875" style="1" customWidth="1"/>
    <col min="4" max="4" width="13.7109375" style="1" customWidth="1"/>
    <col min="5" max="5" width="14.00390625" style="1" customWidth="1"/>
    <col min="6" max="6" width="15.00390625" style="1" customWidth="1"/>
    <col min="7" max="7" width="0" style="1" hidden="1" customWidth="1"/>
    <col min="8" max="8" width="15.8515625" style="1" customWidth="1"/>
    <col min="9" max="16384" width="11.140625" style="1" customWidth="1"/>
  </cols>
  <sheetData>
    <row r="1" spans="1:6" ht="18.75" customHeight="1">
      <c r="A1" s="111" t="s">
        <v>50</v>
      </c>
      <c r="B1" s="111"/>
      <c r="C1" s="111"/>
      <c r="D1" s="111" t="s">
        <v>0</v>
      </c>
      <c r="E1" s="111"/>
      <c r="F1" s="111"/>
    </row>
    <row r="2" spans="1:6" ht="15.75" customHeight="1">
      <c r="A2" s="111"/>
      <c r="B2" s="111"/>
      <c r="C2" s="111"/>
      <c r="D2" s="28">
        <v>2023</v>
      </c>
      <c r="E2" s="28">
        <v>2024</v>
      </c>
      <c r="F2" s="28">
        <v>2025</v>
      </c>
    </row>
    <row r="3" spans="1:6" s="2" customFormat="1" ht="12.75">
      <c r="A3" s="107" t="s">
        <v>1</v>
      </c>
      <c r="B3" s="107"/>
      <c r="C3" s="107"/>
      <c r="D3" s="30">
        <f>D4+D9+D10+D11+D12+D13+D19</f>
        <v>920473518.24</v>
      </c>
      <c r="E3" s="30">
        <f>E4+E9+E10+E11+E12+E13+E19</f>
        <v>957436730</v>
      </c>
      <c r="F3" s="30">
        <f>F4+F9+F10+F11+F12+F13+F19</f>
        <v>977250850.0000001</v>
      </c>
    </row>
    <row r="4" spans="1:6" ht="12.75">
      <c r="A4" s="106" t="s">
        <v>121</v>
      </c>
      <c r="B4" s="106"/>
      <c r="C4" s="106"/>
      <c r="D4" s="26">
        <f>SUM(D5:D8)</f>
        <v>282452300</v>
      </c>
      <c r="E4" s="26">
        <f>SUM(E5:E8)</f>
        <v>296673900</v>
      </c>
      <c r="F4" s="26">
        <f>SUM(F5:F8)</f>
        <v>309561000</v>
      </c>
    </row>
    <row r="5" spans="1:6" ht="12.75">
      <c r="A5" s="106" t="s">
        <v>2</v>
      </c>
      <c r="B5" s="106"/>
      <c r="C5" s="106"/>
      <c r="D5" s="26">
        <v>56671000</v>
      </c>
      <c r="E5" s="26">
        <v>60210000</v>
      </c>
      <c r="F5" s="26">
        <v>62017000</v>
      </c>
    </row>
    <row r="6" spans="1:6" ht="12.75">
      <c r="A6" s="106" t="s">
        <v>4</v>
      </c>
      <c r="B6" s="106"/>
      <c r="C6" s="106"/>
      <c r="D6" s="26">
        <v>39105000</v>
      </c>
      <c r="E6" s="26">
        <v>40550000</v>
      </c>
      <c r="F6" s="26">
        <v>42050000</v>
      </c>
    </row>
    <row r="7" spans="1:6" ht="12.75">
      <c r="A7" s="106" t="s">
        <v>3</v>
      </c>
      <c r="B7" s="106"/>
      <c r="C7" s="106"/>
      <c r="D7" s="26">
        <v>91133000</v>
      </c>
      <c r="E7" s="26">
        <v>97340000</v>
      </c>
      <c r="F7" s="26">
        <v>103970000</v>
      </c>
    </row>
    <row r="8" spans="1:6" ht="12.75">
      <c r="A8" s="106" t="s">
        <v>5</v>
      </c>
      <c r="B8" s="106"/>
      <c r="C8" s="106"/>
      <c r="D8" s="26">
        <v>95543300</v>
      </c>
      <c r="E8" s="26">
        <v>98573900</v>
      </c>
      <c r="F8" s="26">
        <v>101524000</v>
      </c>
    </row>
    <row r="9" spans="1:6" ht="12.75">
      <c r="A9" s="106" t="s">
        <v>122</v>
      </c>
      <c r="B9" s="106"/>
      <c r="C9" s="106"/>
      <c r="D9" s="26">
        <v>61234000</v>
      </c>
      <c r="E9" s="26">
        <v>63173000</v>
      </c>
      <c r="F9" s="26">
        <v>54049000</v>
      </c>
    </row>
    <row r="10" spans="1:6" ht="12.75">
      <c r="A10" s="106" t="s">
        <v>6</v>
      </c>
      <c r="B10" s="106"/>
      <c r="C10" s="106"/>
      <c r="D10" s="26">
        <v>35301288.17</v>
      </c>
      <c r="E10" s="26">
        <v>36433071.21</v>
      </c>
      <c r="F10" s="26">
        <v>37066374.42</v>
      </c>
    </row>
    <row r="11" spans="1:6" ht="12.75" hidden="1">
      <c r="A11" s="106" t="s">
        <v>7</v>
      </c>
      <c r="B11" s="106"/>
      <c r="C11" s="106"/>
      <c r="D11" s="26">
        <v>0</v>
      </c>
      <c r="E11" s="26">
        <v>0</v>
      </c>
      <c r="F11" s="26">
        <v>0</v>
      </c>
    </row>
    <row r="12" spans="1:6" ht="12.75">
      <c r="A12" s="106" t="s">
        <v>8</v>
      </c>
      <c r="B12" s="106"/>
      <c r="C12" s="106"/>
      <c r="D12" s="26">
        <v>0</v>
      </c>
      <c r="E12" s="26">
        <v>0</v>
      </c>
      <c r="F12" s="26">
        <v>0</v>
      </c>
    </row>
    <row r="13" spans="1:6" ht="12.75">
      <c r="A13" s="106" t="s">
        <v>9</v>
      </c>
      <c r="B13" s="106"/>
      <c r="C13" s="106"/>
      <c r="D13" s="26">
        <f>SUM(D14:D18)</f>
        <v>528566730.07</v>
      </c>
      <c r="E13" s="26">
        <f>SUM(E14:E18)</f>
        <v>547815756.29</v>
      </c>
      <c r="F13" s="26">
        <f>SUM(F14:F18)</f>
        <v>564023842.98</v>
      </c>
    </row>
    <row r="14" spans="1:6" ht="12.75">
      <c r="A14" s="106" t="s">
        <v>10</v>
      </c>
      <c r="B14" s="106"/>
      <c r="C14" s="106"/>
      <c r="D14" s="26">
        <v>111080000</v>
      </c>
      <c r="E14" s="26">
        <v>114580000</v>
      </c>
      <c r="F14" s="26">
        <v>118017000</v>
      </c>
    </row>
    <row r="15" spans="1:6" ht="12.75">
      <c r="A15" s="106" t="s">
        <v>11</v>
      </c>
      <c r="B15" s="106"/>
      <c r="C15" s="106"/>
      <c r="D15" s="26">
        <v>141803000</v>
      </c>
      <c r="E15" s="26">
        <v>146270000</v>
      </c>
      <c r="F15" s="26">
        <v>150658000</v>
      </c>
    </row>
    <row r="16" spans="1:6" ht="12.75">
      <c r="A16" s="106" t="s">
        <v>12</v>
      </c>
      <c r="B16" s="106"/>
      <c r="C16" s="106"/>
      <c r="D16" s="26">
        <v>61157000</v>
      </c>
      <c r="E16" s="26">
        <v>63083000</v>
      </c>
      <c r="F16" s="26">
        <v>64975000</v>
      </c>
    </row>
    <row r="17" spans="1:6" ht="12.75">
      <c r="A17" s="106" t="s">
        <v>13</v>
      </c>
      <c r="B17" s="106"/>
      <c r="C17" s="106"/>
      <c r="D17" s="26">
        <v>149500000</v>
      </c>
      <c r="E17" s="26">
        <v>157500000</v>
      </c>
      <c r="F17" s="26">
        <v>162220000</v>
      </c>
    </row>
    <row r="18" spans="1:6" ht="12.75">
      <c r="A18" s="106" t="s">
        <v>14</v>
      </c>
      <c r="B18" s="106"/>
      <c r="C18" s="106"/>
      <c r="D18" s="26">
        <v>65026730.07</v>
      </c>
      <c r="E18" s="26">
        <v>66382756.29</v>
      </c>
      <c r="F18" s="26">
        <v>68153842.98</v>
      </c>
    </row>
    <row r="19" spans="1:6" ht="12.75">
      <c r="A19" s="106" t="s">
        <v>15</v>
      </c>
      <c r="B19" s="106"/>
      <c r="C19" s="106"/>
      <c r="D19" s="26">
        <v>12919200</v>
      </c>
      <c r="E19" s="26">
        <v>13341002.5</v>
      </c>
      <c r="F19" s="26">
        <v>12550632.6</v>
      </c>
    </row>
    <row r="20" spans="1:6" s="2" customFormat="1" ht="12.75">
      <c r="A20" s="107" t="s">
        <v>16</v>
      </c>
      <c r="B20" s="107"/>
      <c r="C20" s="107"/>
      <c r="D20" s="30">
        <f>D21+D23+D22+D24</f>
        <v>81650421.75999999</v>
      </c>
      <c r="E20" s="30">
        <f>E21+E23+E22+E24</f>
        <v>25839550</v>
      </c>
      <c r="F20" s="30">
        <f>F21+F23+F22+F24</f>
        <v>13679550</v>
      </c>
    </row>
    <row r="21" spans="1:6" ht="12.75">
      <c r="A21" s="106" t="s">
        <v>17</v>
      </c>
      <c r="B21" s="106"/>
      <c r="C21" s="106"/>
      <c r="D21" s="26">
        <v>25000000</v>
      </c>
      <c r="E21" s="26">
        <v>12500000</v>
      </c>
      <c r="F21" s="26">
        <v>0</v>
      </c>
    </row>
    <row r="22" spans="1:6" ht="12.75">
      <c r="A22" s="106" t="s">
        <v>19</v>
      </c>
      <c r="B22" s="106"/>
      <c r="C22" s="106"/>
      <c r="D22" s="26">
        <v>14930000</v>
      </c>
      <c r="E22" s="26">
        <v>1960000</v>
      </c>
      <c r="F22" s="26">
        <v>1960000</v>
      </c>
    </row>
    <row r="23" spans="1:6" ht="12.75">
      <c r="A23" s="106" t="s">
        <v>18</v>
      </c>
      <c r="B23" s="106"/>
      <c r="C23" s="106"/>
      <c r="D23" s="26">
        <v>32500</v>
      </c>
      <c r="E23" s="26">
        <v>33550</v>
      </c>
      <c r="F23" s="26">
        <v>33550</v>
      </c>
    </row>
    <row r="24" spans="1:6" ht="12.75">
      <c r="A24" s="106" t="s">
        <v>109</v>
      </c>
      <c r="B24" s="106"/>
      <c r="C24" s="106"/>
      <c r="D24" s="26">
        <v>41687921.76</v>
      </c>
      <c r="E24" s="26">
        <v>11346000</v>
      </c>
      <c r="F24" s="26">
        <v>11686000</v>
      </c>
    </row>
    <row r="25" spans="1:6" ht="12.75">
      <c r="A25" s="107" t="s">
        <v>107</v>
      </c>
      <c r="B25" s="107"/>
      <c r="C25" s="107"/>
      <c r="D25" s="26">
        <v>143554000</v>
      </c>
      <c r="E25" s="26">
        <v>157385000</v>
      </c>
      <c r="F25" s="26">
        <v>167107000</v>
      </c>
    </row>
    <row r="26" spans="1:6" ht="12.75">
      <c r="A26" s="107" t="s">
        <v>108</v>
      </c>
      <c r="B26" s="107"/>
      <c r="C26" s="107"/>
      <c r="D26" s="26">
        <v>61827940</v>
      </c>
      <c r="E26" s="26">
        <v>63774080</v>
      </c>
      <c r="F26" s="26">
        <v>65687000</v>
      </c>
    </row>
    <row r="27" spans="1:6" ht="12.75">
      <c r="A27" s="108" t="s">
        <v>114</v>
      </c>
      <c r="B27" s="109"/>
      <c r="C27" s="110"/>
      <c r="D27" s="26">
        <v>11300000</v>
      </c>
      <c r="E27" s="26">
        <v>9662200</v>
      </c>
      <c r="F27" s="26">
        <v>9950400</v>
      </c>
    </row>
    <row r="28" spans="1:7" s="3" customFormat="1" ht="12.75">
      <c r="A28" s="107" t="s">
        <v>115</v>
      </c>
      <c r="B28" s="107"/>
      <c r="C28" s="107"/>
      <c r="D28" s="30">
        <f>D3+D20+D25-D26-D27</f>
        <v>1072550000</v>
      </c>
      <c r="E28" s="30">
        <f>E3+E20+E25-E26-E27</f>
        <v>1067225000</v>
      </c>
      <c r="F28" s="30">
        <f>F3+F20+F25-F26-F27</f>
        <v>1082400000</v>
      </c>
      <c r="G28" s="3" t="s">
        <v>20</v>
      </c>
    </row>
    <row r="29" spans="1:6" ht="12.75">
      <c r="A29" s="105" t="s">
        <v>112</v>
      </c>
      <c r="B29" s="105"/>
      <c r="C29" s="105"/>
      <c r="D29" s="105"/>
      <c r="E29" s="105"/>
      <c r="F29" s="105"/>
    </row>
    <row r="31" ht="12.75">
      <c r="A31" s="5" t="s">
        <v>21</v>
      </c>
    </row>
    <row r="32" spans="1:6" ht="12.75">
      <c r="A32" s="105" t="s">
        <v>249</v>
      </c>
      <c r="B32" s="105"/>
      <c r="C32" s="105"/>
      <c r="D32" s="105"/>
      <c r="E32" s="105"/>
      <c r="F32" s="105"/>
    </row>
  </sheetData>
  <sheetProtection/>
  <mergeCells count="30">
    <mergeCell ref="D1:F1"/>
    <mergeCell ref="A3:C3"/>
    <mergeCell ref="A4:C4"/>
    <mergeCell ref="A5:C5"/>
    <mergeCell ref="A1:C2"/>
    <mergeCell ref="A6:C6"/>
    <mergeCell ref="A7:C7"/>
    <mergeCell ref="A29:F29"/>
    <mergeCell ref="A16:C16"/>
    <mergeCell ref="A17:C17"/>
    <mergeCell ref="A18:C18"/>
    <mergeCell ref="A27:C27"/>
    <mergeCell ref="A8:C8"/>
    <mergeCell ref="A9:C9"/>
    <mergeCell ref="A28:C28"/>
    <mergeCell ref="A26:C26"/>
    <mergeCell ref="A12:C12"/>
    <mergeCell ref="A10:C10"/>
    <mergeCell ref="A11:C11"/>
    <mergeCell ref="A13:C13"/>
    <mergeCell ref="A14:C14"/>
    <mergeCell ref="A15:C15"/>
    <mergeCell ref="A32:F32"/>
    <mergeCell ref="A19:C19"/>
    <mergeCell ref="A20:C20"/>
    <mergeCell ref="A21:C21"/>
    <mergeCell ref="A23:C23"/>
    <mergeCell ref="A22:C22"/>
    <mergeCell ref="A24:C24"/>
    <mergeCell ref="A25:C25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&amp;CMEMÓRIA E METODOLOGIA I      
Prefeitura Municipal de Santa Maria     
Lei de Diretrizes Orçamentárias     
Memória e Metodologia de Cálculo     
METAS ANUAIS PARA A RECEITA     
2023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workbookViewId="0" topLeftCell="A1">
      <selection activeCell="E31" sqref="E31"/>
    </sheetView>
  </sheetViews>
  <sheetFormatPr defaultColWidth="8.57421875" defaultRowHeight="12.75"/>
  <cols>
    <col min="1" max="1" width="38.421875" style="6" customWidth="1"/>
    <col min="2" max="3" width="12.57421875" style="7" customWidth="1"/>
    <col min="4" max="4" width="12.57421875" style="8" customWidth="1"/>
    <col min="5" max="5" width="12.57421875" style="7" customWidth="1"/>
    <col min="6" max="6" width="13.7109375" style="7" customWidth="1"/>
    <col min="7" max="7" width="13.28125" style="9" customWidth="1"/>
    <col min="8" max="8" width="13.8515625" style="10" customWidth="1"/>
    <col min="9" max="252" width="8.57421875" style="10" customWidth="1"/>
    <col min="253" max="254" width="8.57421875" style="7" customWidth="1"/>
    <col min="255" max="16384" width="8.57421875" style="10" customWidth="1"/>
  </cols>
  <sheetData>
    <row r="1" spans="1:255" s="4" customFormat="1" ht="12.75">
      <c r="A1" s="113" t="s">
        <v>22</v>
      </c>
      <c r="B1" s="114" t="s">
        <v>23</v>
      </c>
      <c r="C1" s="114"/>
      <c r="D1" s="114"/>
      <c r="E1" s="114" t="s">
        <v>24</v>
      </c>
      <c r="F1" s="114"/>
      <c r="G1" s="114"/>
      <c r="H1" s="114"/>
      <c r="IS1" s="11"/>
      <c r="IT1" s="11"/>
      <c r="IU1" s="10"/>
    </row>
    <row r="2" spans="1:255" s="4" customFormat="1" ht="12.75">
      <c r="A2" s="113"/>
      <c r="B2" s="114"/>
      <c r="C2" s="114"/>
      <c r="D2" s="114"/>
      <c r="E2" s="114"/>
      <c r="F2" s="114"/>
      <c r="G2" s="114"/>
      <c r="H2" s="114"/>
      <c r="IS2" s="11"/>
      <c r="IT2" s="11"/>
      <c r="IU2" s="10"/>
    </row>
    <row r="3" spans="1:255" s="4" customFormat="1" ht="12.75">
      <c r="A3" s="113"/>
      <c r="B3" s="114"/>
      <c r="C3" s="114"/>
      <c r="D3" s="114"/>
      <c r="E3" s="114"/>
      <c r="F3" s="114"/>
      <c r="G3" s="114"/>
      <c r="H3" s="114"/>
      <c r="IS3" s="11"/>
      <c r="IT3" s="11"/>
      <c r="IU3" s="10"/>
    </row>
    <row r="4" spans="1:255" s="12" customFormat="1" ht="12.75">
      <c r="A4" s="113"/>
      <c r="B4" s="32">
        <v>2019</v>
      </c>
      <c r="C4" s="32">
        <v>2020</v>
      </c>
      <c r="D4" s="32">
        <v>2021</v>
      </c>
      <c r="E4" s="32">
        <v>2022</v>
      </c>
      <c r="F4" s="32">
        <v>2023</v>
      </c>
      <c r="G4" s="32">
        <v>2024</v>
      </c>
      <c r="H4" s="32">
        <v>2025</v>
      </c>
      <c r="IT4" s="11"/>
      <c r="IU4" s="10"/>
    </row>
    <row r="5" spans="1:255" s="12" customFormat="1" ht="12.75">
      <c r="A5" s="33" t="s">
        <v>25</v>
      </c>
      <c r="B5" s="34">
        <f aca="true" t="shared" si="0" ref="B5:H5">SUM(B6:B12)</f>
        <v>725597969.77</v>
      </c>
      <c r="C5" s="34">
        <f t="shared" si="0"/>
        <v>848511543.62</v>
      </c>
      <c r="D5" s="34">
        <f t="shared" si="0"/>
        <v>908868860.8199999</v>
      </c>
      <c r="E5" s="34">
        <f t="shared" si="0"/>
        <v>884317848.1800001</v>
      </c>
      <c r="F5" s="34">
        <f t="shared" si="0"/>
        <v>920473518.24</v>
      </c>
      <c r="G5" s="35">
        <f t="shared" si="0"/>
        <v>957436730</v>
      </c>
      <c r="H5" s="35">
        <f t="shared" si="0"/>
        <v>977250850.0000001</v>
      </c>
      <c r="IT5" s="11"/>
      <c r="IU5" s="10"/>
    </row>
    <row r="6" spans="1:255" s="4" customFormat="1" ht="12.75" customHeight="1">
      <c r="A6" s="71" t="s">
        <v>120</v>
      </c>
      <c r="B6" s="37">
        <v>214936009.8</v>
      </c>
      <c r="C6" s="37">
        <v>215247283.5</v>
      </c>
      <c r="D6" s="37">
        <v>248098354.9</v>
      </c>
      <c r="E6" s="37">
        <v>268222100</v>
      </c>
      <c r="F6" s="38">
        <f>'METAS ANUAIS PARA A RECEITA'!D4</f>
        <v>282452300</v>
      </c>
      <c r="G6" s="38">
        <f>'METAS ANUAIS PARA A RECEITA'!E4</f>
        <v>296673900</v>
      </c>
      <c r="H6" s="38">
        <f>'METAS ANUAIS PARA A RECEITA'!F4</f>
        <v>309561000</v>
      </c>
      <c r="IS6" s="11"/>
      <c r="IT6" s="11"/>
      <c r="IU6" s="10"/>
    </row>
    <row r="7" spans="1:255" s="4" customFormat="1" ht="12.75">
      <c r="A7" s="71" t="s">
        <v>123</v>
      </c>
      <c r="B7" s="37">
        <v>45006075.6</v>
      </c>
      <c r="C7" s="37">
        <v>47989591.81</v>
      </c>
      <c r="D7" s="37">
        <v>53125628.47</v>
      </c>
      <c r="E7" s="37">
        <v>59084000</v>
      </c>
      <c r="F7" s="38">
        <f>'METAS ANUAIS PARA A RECEITA'!D9</f>
        <v>61234000</v>
      </c>
      <c r="G7" s="38">
        <f>'METAS ANUAIS PARA A RECEITA'!E9</f>
        <v>63173000</v>
      </c>
      <c r="H7" s="38">
        <f>'METAS ANUAIS PARA A RECEITA'!F9</f>
        <v>54049000</v>
      </c>
      <c r="IS7" s="11"/>
      <c r="IT7" s="11"/>
      <c r="IU7" s="10"/>
    </row>
    <row r="8" spans="1:255" s="4" customFormat="1" ht="12.75">
      <c r="A8" s="36" t="s">
        <v>26</v>
      </c>
      <c r="B8" s="43">
        <v>66041966.92</v>
      </c>
      <c r="C8" s="43">
        <v>129181548.81</v>
      </c>
      <c r="D8" s="43">
        <v>103993322.03</v>
      </c>
      <c r="E8" s="37">
        <v>33979290.64</v>
      </c>
      <c r="F8" s="38">
        <f>'METAS ANUAIS PARA A RECEITA'!D10</f>
        <v>35301288.17</v>
      </c>
      <c r="G8" s="38">
        <f>'METAS ANUAIS PARA A RECEITA'!E10</f>
        <v>36433071.21</v>
      </c>
      <c r="H8" s="38">
        <f>'METAS ANUAIS PARA A RECEITA'!F10</f>
        <v>37066374.42</v>
      </c>
      <c r="IS8" s="11"/>
      <c r="IT8" s="11"/>
      <c r="IU8" s="10"/>
    </row>
    <row r="9" spans="1:255" s="4" customFormat="1" ht="12.75">
      <c r="A9" s="36" t="s">
        <v>27</v>
      </c>
      <c r="B9" s="37">
        <v>0</v>
      </c>
      <c r="C9" s="37">
        <v>0</v>
      </c>
      <c r="D9" s="37">
        <v>0</v>
      </c>
      <c r="E9" s="37">
        <v>0</v>
      </c>
      <c r="F9" s="38">
        <f>'METAS ANUAIS PARA A RECEITA'!D11</f>
        <v>0</v>
      </c>
      <c r="G9" s="38">
        <f>'METAS ANUAIS PARA A RECEITA'!E11</f>
        <v>0</v>
      </c>
      <c r="H9" s="38">
        <f>'METAS ANUAIS PARA A RECEITA'!F11</f>
        <v>0</v>
      </c>
      <c r="IS9" s="11"/>
      <c r="IT9" s="11"/>
      <c r="IU9" s="10"/>
    </row>
    <row r="10" spans="1:255" s="4" customFormat="1" ht="12.75">
      <c r="A10" s="36" t="s">
        <v>28</v>
      </c>
      <c r="B10" s="37">
        <v>275.92</v>
      </c>
      <c r="C10" s="37">
        <v>870724.83</v>
      </c>
      <c r="D10" s="37">
        <v>376766.36</v>
      </c>
      <c r="E10" s="37">
        <v>0</v>
      </c>
      <c r="F10" s="38">
        <f>'METAS ANUAIS PARA A RECEITA'!D12</f>
        <v>0</v>
      </c>
      <c r="G10" s="38">
        <f>'METAS ANUAIS PARA A RECEITA'!E12</f>
        <v>0</v>
      </c>
      <c r="H10" s="38">
        <f>'METAS ANUAIS PARA A RECEITA'!F12</f>
        <v>0</v>
      </c>
      <c r="IS10" s="11"/>
      <c r="IT10" s="11"/>
      <c r="IU10" s="10"/>
    </row>
    <row r="11" spans="1:255" s="4" customFormat="1" ht="12.75">
      <c r="A11" s="36" t="s">
        <v>29</v>
      </c>
      <c r="B11" s="37">
        <v>383393849.01</v>
      </c>
      <c r="C11" s="37">
        <v>441412378.71</v>
      </c>
      <c r="D11" s="37">
        <v>491535422.77</v>
      </c>
      <c r="E11" s="37">
        <v>511826057.54</v>
      </c>
      <c r="F11" s="38">
        <f>'METAS ANUAIS PARA A RECEITA'!D13</f>
        <v>528566730.07</v>
      </c>
      <c r="G11" s="38">
        <f>'METAS ANUAIS PARA A RECEITA'!E13</f>
        <v>547815756.29</v>
      </c>
      <c r="H11" s="38">
        <f>'METAS ANUAIS PARA A RECEITA'!F13</f>
        <v>564023842.98</v>
      </c>
      <c r="IS11" s="11"/>
      <c r="IT11" s="11"/>
      <c r="IU11" s="10"/>
    </row>
    <row r="12" spans="1:255" s="4" customFormat="1" ht="12.75">
      <c r="A12" s="36" t="s">
        <v>30</v>
      </c>
      <c r="B12" s="37">
        <v>16219792.52</v>
      </c>
      <c r="C12" s="37">
        <v>13810015.96</v>
      </c>
      <c r="D12" s="37">
        <v>11739366.29</v>
      </c>
      <c r="E12" s="37">
        <v>11206400</v>
      </c>
      <c r="F12" s="38">
        <f>'METAS ANUAIS PARA A RECEITA'!D19</f>
        <v>12919200</v>
      </c>
      <c r="G12" s="38">
        <f>'METAS ANUAIS PARA A RECEITA'!E19</f>
        <v>13341002.5</v>
      </c>
      <c r="H12" s="38">
        <f>'METAS ANUAIS PARA A RECEITA'!F19</f>
        <v>12550632.6</v>
      </c>
      <c r="IS12" s="11"/>
      <c r="IT12" s="11"/>
      <c r="IU12" s="10"/>
    </row>
    <row r="13" spans="1:255" s="13" customFormat="1" ht="12.75">
      <c r="A13" s="39" t="s">
        <v>105</v>
      </c>
      <c r="B13" s="40">
        <v>94149418.58</v>
      </c>
      <c r="C13" s="40">
        <v>104339572.94</v>
      </c>
      <c r="D13" s="40">
        <v>106478490.37</v>
      </c>
      <c r="E13" s="40">
        <v>123130192.51</v>
      </c>
      <c r="F13" s="41">
        <f>'METAS ANUAIS PARA A RECEITA'!D25</f>
        <v>143554000</v>
      </c>
      <c r="G13" s="41">
        <f>'METAS ANUAIS PARA A RECEITA'!E25</f>
        <v>157385000</v>
      </c>
      <c r="H13" s="41">
        <f>'METAS ANUAIS PARA A RECEITA'!F25</f>
        <v>167107000</v>
      </c>
      <c r="IU13" s="23"/>
    </row>
    <row r="14" spans="1:255" s="12" customFormat="1" ht="12.75">
      <c r="A14" s="33" t="s">
        <v>31</v>
      </c>
      <c r="B14" s="34">
        <f>SUM(B15:B19)</f>
        <v>30603967.14</v>
      </c>
      <c r="C14" s="34">
        <f>SUM(C15:C19)</f>
        <v>42137082.66</v>
      </c>
      <c r="D14" s="34">
        <f>SUM(D15:D19)</f>
        <v>17741604.74</v>
      </c>
      <c r="E14" s="34">
        <f>SUM(E15:E18)</f>
        <v>53330136.28</v>
      </c>
      <c r="F14" s="34">
        <f>SUM(F15:F18)</f>
        <v>81650421.75999999</v>
      </c>
      <c r="G14" s="35">
        <f>SUM(G15:G18)</f>
        <v>25839550</v>
      </c>
      <c r="H14" s="35">
        <f>SUM(H15:H18)</f>
        <v>13679550</v>
      </c>
      <c r="IT14" s="11"/>
      <c r="IU14" s="10"/>
    </row>
    <row r="15" spans="1:255" s="4" customFormat="1" ht="12.75">
      <c r="A15" s="36" t="s">
        <v>32</v>
      </c>
      <c r="B15" s="37">
        <v>9582608.97</v>
      </c>
      <c r="C15" s="37">
        <v>14836364.39</v>
      </c>
      <c r="D15" s="37">
        <v>10262513.1</v>
      </c>
      <c r="E15" s="37">
        <v>15360000</v>
      </c>
      <c r="F15" s="37">
        <f>'METAS ANUAIS PARA A RECEITA'!D21</f>
        <v>25000000</v>
      </c>
      <c r="G15" s="37">
        <f>'METAS ANUAIS PARA A RECEITA'!E21</f>
        <v>12500000</v>
      </c>
      <c r="H15" s="37">
        <f>'METAS ANUAIS PARA A RECEITA'!F21</f>
        <v>0</v>
      </c>
      <c r="IS15" s="11"/>
      <c r="IT15" s="11"/>
      <c r="IU15" s="10"/>
    </row>
    <row r="16" spans="1:255" s="4" customFormat="1" ht="12.75">
      <c r="A16" s="36" t="s">
        <v>33</v>
      </c>
      <c r="B16" s="37">
        <v>183820.02</v>
      </c>
      <c r="C16" s="37">
        <v>1403175.36</v>
      </c>
      <c r="D16" s="37">
        <v>701415.92</v>
      </c>
      <c r="E16" s="37">
        <v>2768000</v>
      </c>
      <c r="F16" s="37">
        <f>'METAS ANUAIS PARA A RECEITA'!D22</f>
        <v>14930000</v>
      </c>
      <c r="G16" s="37">
        <f>'METAS ANUAIS PARA A RECEITA'!E22</f>
        <v>1960000</v>
      </c>
      <c r="H16" s="37">
        <f>'METAS ANUAIS PARA A RECEITA'!F22</f>
        <v>1960000</v>
      </c>
      <c r="IS16" s="11"/>
      <c r="IT16" s="11"/>
      <c r="IU16" s="10"/>
    </row>
    <row r="17" spans="1:255" s="4" customFormat="1" ht="12.75">
      <c r="A17" s="36" t="s">
        <v>34</v>
      </c>
      <c r="B17" s="37">
        <v>31172.53</v>
      </c>
      <c r="C17" s="37">
        <v>45508.32</v>
      </c>
      <c r="D17" s="37">
        <v>58339.43</v>
      </c>
      <c r="E17" s="37">
        <v>31400</v>
      </c>
      <c r="F17" s="37">
        <f>'METAS ANUAIS PARA A RECEITA'!D23</f>
        <v>32500</v>
      </c>
      <c r="G17" s="37">
        <f>'METAS ANUAIS PARA A RECEITA'!E23</f>
        <v>33550</v>
      </c>
      <c r="H17" s="37">
        <f>'METAS ANUAIS PARA A RECEITA'!F23</f>
        <v>33550</v>
      </c>
      <c r="IS17" s="11"/>
      <c r="IT17" s="11"/>
      <c r="IU17" s="10"/>
    </row>
    <row r="18" spans="1:255" s="4" customFormat="1" ht="12.75">
      <c r="A18" s="36" t="s">
        <v>35</v>
      </c>
      <c r="B18" s="37">
        <v>20806365.62</v>
      </c>
      <c r="C18" s="37">
        <v>25852034.59</v>
      </c>
      <c r="D18" s="37">
        <v>6719336.29</v>
      </c>
      <c r="E18" s="37">
        <v>35170736.28</v>
      </c>
      <c r="F18" s="37">
        <f>'METAS ANUAIS PARA A RECEITA'!D24</f>
        <v>41687921.76</v>
      </c>
      <c r="G18" s="37">
        <f>'METAS ANUAIS PARA A RECEITA'!E24</f>
        <v>11346000</v>
      </c>
      <c r="H18" s="37">
        <f>'METAS ANUAIS PARA A RECEITA'!F24</f>
        <v>11686000</v>
      </c>
      <c r="IS18" s="11"/>
      <c r="IT18" s="11"/>
      <c r="IU18" s="10"/>
    </row>
    <row r="19" spans="1:255" s="4" customFormat="1" ht="12.75">
      <c r="A19" s="36" t="s">
        <v>36</v>
      </c>
      <c r="B19" s="43">
        <v>0</v>
      </c>
      <c r="C19" s="43">
        <v>0</v>
      </c>
      <c r="D19" s="43">
        <v>0</v>
      </c>
      <c r="E19" s="37">
        <v>0</v>
      </c>
      <c r="F19" s="38"/>
      <c r="G19" s="42"/>
      <c r="H19" s="42"/>
      <c r="IS19" s="11"/>
      <c r="IT19" s="11"/>
      <c r="IU19" s="10"/>
    </row>
    <row r="20" spans="1:255" s="4" customFormat="1" ht="12.75">
      <c r="A20" s="71" t="s">
        <v>116</v>
      </c>
      <c r="B20" s="37">
        <v>43549632.43</v>
      </c>
      <c r="C20" s="37">
        <v>43879603.66</v>
      </c>
      <c r="D20" s="37">
        <v>56250103.94</v>
      </c>
      <c r="E20" s="37">
        <v>59622200</v>
      </c>
      <c r="F20" s="44">
        <f>'METAS ANUAIS PARA A RECEITA'!D26</f>
        <v>61827940</v>
      </c>
      <c r="G20" s="44">
        <f>'METAS ANUAIS PARA A RECEITA'!E26</f>
        <v>63774080</v>
      </c>
      <c r="H20" s="44">
        <f>'METAS ANUAIS PARA A RECEITA'!F26</f>
        <v>65687000</v>
      </c>
      <c r="IS20" s="11"/>
      <c r="IT20" s="11"/>
      <c r="IU20" s="10"/>
    </row>
    <row r="21" spans="1:255" s="4" customFormat="1" ht="12.75">
      <c r="A21" s="71" t="s">
        <v>119</v>
      </c>
      <c r="B21" s="37">
        <v>26388418.06</v>
      </c>
      <c r="C21" s="37">
        <v>100662850.51</v>
      </c>
      <c r="D21" s="37">
        <v>96073014.19</v>
      </c>
      <c r="E21" s="37">
        <v>8655976.97</v>
      </c>
      <c r="F21" s="44">
        <f>'METAS ANUAIS PARA A RECEITA'!D27</f>
        <v>11300000</v>
      </c>
      <c r="G21" s="44">
        <f>'METAS ANUAIS PARA A RECEITA'!E27</f>
        <v>9662200</v>
      </c>
      <c r="H21" s="44">
        <f>'METAS ANUAIS PARA A RECEITA'!F27</f>
        <v>9950400</v>
      </c>
      <c r="IS21" s="11"/>
      <c r="IT21" s="11"/>
      <c r="IU21" s="10"/>
    </row>
    <row r="22" spans="1:255" s="13" customFormat="1" ht="12.75">
      <c r="A22" s="33" t="s">
        <v>37</v>
      </c>
      <c r="B22" s="34">
        <f aca="true" t="shared" si="1" ref="B22:H22">B5+B14+B13-B20-B21</f>
        <v>780413305.0000001</v>
      </c>
      <c r="C22" s="34">
        <f t="shared" si="1"/>
        <v>850445745.0500001</v>
      </c>
      <c r="D22" s="34">
        <f t="shared" si="1"/>
        <v>880765837.8</v>
      </c>
      <c r="E22" s="34">
        <f t="shared" si="1"/>
        <v>992500000</v>
      </c>
      <c r="F22" s="34">
        <f t="shared" si="1"/>
        <v>1072550000</v>
      </c>
      <c r="G22" s="34">
        <f t="shared" si="1"/>
        <v>1067225000</v>
      </c>
      <c r="H22" s="34">
        <f t="shared" si="1"/>
        <v>1082400000</v>
      </c>
      <c r="IS22" s="12"/>
      <c r="IT22" s="12"/>
      <c r="IU22" s="10"/>
    </row>
    <row r="23" spans="1:8" ht="12.75">
      <c r="A23" s="115" t="s">
        <v>112</v>
      </c>
      <c r="B23" s="115"/>
      <c r="C23" s="115"/>
      <c r="D23" s="115"/>
      <c r="E23" s="115"/>
      <c r="F23" s="115"/>
      <c r="G23" s="115"/>
      <c r="H23" s="115"/>
    </row>
    <row r="25" spans="1:6" ht="12.75">
      <c r="A25" s="14" t="s">
        <v>38</v>
      </c>
      <c r="B25" s="10"/>
      <c r="C25" s="10"/>
      <c r="D25" s="15"/>
      <c r="E25" s="10"/>
      <c r="F25" s="10"/>
    </row>
    <row r="26" spans="1:6" ht="12.75">
      <c r="A26" s="112" t="s">
        <v>39</v>
      </c>
      <c r="B26" s="112"/>
      <c r="C26" s="112"/>
      <c r="D26" s="112"/>
      <c r="E26" s="112"/>
      <c r="F26" s="10"/>
    </row>
    <row r="27" spans="1:6" ht="12.75">
      <c r="A27" s="112" t="s">
        <v>250</v>
      </c>
      <c r="B27" s="112"/>
      <c r="C27" s="112"/>
      <c r="D27" s="112"/>
      <c r="E27" s="112"/>
      <c r="F27" s="112"/>
    </row>
  </sheetData>
  <sheetProtection/>
  <mergeCells count="6">
    <mergeCell ref="A26:E26"/>
    <mergeCell ref="A27:F27"/>
    <mergeCell ref="A1:A4"/>
    <mergeCell ref="B1:D3"/>
    <mergeCell ref="E1:H3"/>
    <mergeCell ref="A23:H23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&amp;CMEMÓRIA E METODOLOGIA I        
Prefeitura Municipal de Santa Maria       
Lei de Diretrizes Orçamentárias       
Memória e Metodologia de Cálculo       
  METAS ANUAIS PARA A RECEITA – EVOLUÇÃO DA RECEITA       
2023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34"/>
  <sheetViews>
    <sheetView workbookViewId="0" topLeftCell="A97">
      <selection activeCell="B138" sqref="B138"/>
    </sheetView>
  </sheetViews>
  <sheetFormatPr defaultColWidth="11.140625" defaultRowHeight="12.75"/>
  <cols>
    <col min="1" max="3" width="31.140625" style="1" customWidth="1"/>
    <col min="4" max="4" width="11.140625" style="1" customWidth="1"/>
    <col min="5" max="5" width="13.8515625" style="1" bestFit="1" customWidth="1"/>
    <col min="6" max="16384" width="11.140625" style="1" customWidth="1"/>
  </cols>
  <sheetData>
    <row r="2" spans="1:3" ht="12.75">
      <c r="A2" s="117" t="s">
        <v>124</v>
      </c>
      <c r="B2" s="117"/>
      <c r="C2" s="117"/>
    </row>
    <row r="4" spans="1:3" ht="12.75">
      <c r="A4" s="118" t="s">
        <v>40</v>
      </c>
      <c r="B4" s="118" t="s">
        <v>41</v>
      </c>
      <c r="C4" s="118" t="s">
        <v>42</v>
      </c>
    </row>
    <row r="5" spans="1:3" ht="12.75">
      <c r="A5" s="118"/>
      <c r="B5" s="118"/>
      <c r="C5" s="118"/>
    </row>
    <row r="6" spans="1:5" ht="12.75">
      <c r="A6" s="25">
        <v>2019</v>
      </c>
      <c r="B6" s="26">
        <f>'EVOLUÇÃO DA RECEITA'!B6</f>
        <v>214936009.8</v>
      </c>
      <c r="C6" s="27" t="s">
        <v>43</v>
      </c>
      <c r="E6" s="72"/>
    </row>
    <row r="7" spans="1:5" ht="12.75">
      <c r="A7" s="25">
        <v>2020</v>
      </c>
      <c r="B7" s="26">
        <f>'EVOLUÇÃO DA RECEITA'!C6</f>
        <v>215247283.5</v>
      </c>
      <c r="C7" s="27">
        <f aca="true" t="shared" si="0" ref="C7:C12">(B7-B6)/B6</f>
        <v>0.001448215681912171</v>
      </c>
      <c r="E7" s="72"/>
    </row>
    <row r="8" spans="1:5" ht="12.75">
      <c r="A8" s="25">
        <v>2021</v>
      </c>
      <c r="B8" s="26">
        <f>'EVOLUÇÃO DA RECEITA'!D6</f>
        <v>248098354.9</v>
      </c>
      <c r="C8" s="27">
        <f t="shared" si="0"/>
        <v>0.15262014398430263</v>
      </c>
      <c r="E8" s="72"/>
    </row>
    <row r="9" spans="1:5" ht="12.75">
      <c r="A9" s="25">
        <v>2022</v>
      </c>
      <c r="B9" s="26">
        <f>'EVOLUÇÃO DA RECEITA'!E6</f>
        <v>268222100</v>
      </c>
      <c r="C9" s="27">
        <f t="shared" si="0"/>
        <v>0.08111196508381198</v>
      </c>
      <c r="E9" s="72"/>
    </row>
    <row r="10" spans="1:5" ht="12.75">
      <c r="A10" s="25">
        <v>2023</v>
      </c>
      <c r="B10" s="26">
        <f>'EVOLUÇÃO DA RECEITA'!F6</f>
        <v>282452300</v>
      </c>
      <c r="C10" s="27">
        <f t="shared" si="0"/>
        <v>0.05305379385218444</v>
      </c>
      <c r="E10" s="72"/>
    </row>
    <row r="11" spans="1:5" ht="12.75">
      <c r="A11" s="25">
        <v>2024</v>
      </c>
      <c r="B11" s="26">
        <f>'EVOLUÇÃO DA RECEITA'!G6</f>
        <v>296673900</v>
      </c>
      <c r="C11" s="27">
        <f t="shared" si="0"/>
        <v>0.05035044855361419</v>
      </c>
      <c r="E11" s="72"/>
    </row>
    <row r="12" spans="1:5" ht="12.75">
      <c r="A12" s="25">
        <v>2025</v>
      </c>
      <c r="B12" s="26">
        <f>'EVOLUÇÃO DA RECEITA'!H6</f>
        <v>309561000</v>
      </c>
      <c r="C12" s="27">
        <f t="shared" si="0"/>
        <v>0.043438603800334305</v>
      </c>
      <c r="E12" s="72"/>
    </row>
    <row r="13" spans="1:6" ht="12.75">
      <c r="A13" s="116" t="s">
        <v>112</v>
      </c>
      <c r="B13" s="116"/>
      <c r="C13" s="116"/>
      <c r="D13" s="67"/>
      <c r="E13" s="67"/>
      <c r="F13" s="67"/>
    </row>
    <row r="15" ht="12.75">
      <c r="A15" s="5" t="s">
        <v>21</v>
      </c>
    </row>
    <row r="16" spans="1:3" ht="12.75">
      <c r="A16" s="105" t="s">
        <v>249</v>
      </c>
      <c r="B16" s="105"/>
      <c r="C16" s="105"/>
    </row>
    <row r="19" spans="1:3" ht="12.75">
      <c r="A19" s="117" t="s">
        <v>125</v>
      </c>
      <c r="B19" s="117"/>
      <c r="C19" s="117"/>
    </row>
    <row r="21" spans="1:3" ht="12.75">
      <c r="A21" s="118" t="s">
        <v>40</v>
      </c>
      <c r="B21" s="118" t="s">
        <v>41</v>
      </c>
      <c r="C21" s="118" t="s">
        <v>42</v>
      </c>
    </row>
    <row r="22" spans="1:3" ht="12.75">
      <c r="A22" s="118"/>
      <c r="B22" s="118"/>
      <c r="C22" s="118"/>
    </row>
    <row r="23" spans="1:3" ht="12.75">
      <c r="A23" s="25">
        <v>2019</v>
      </c>
      <c r="B23" s="26">
        <f>'EVOLUÇÃO DA RECEITA'!B7</f>
        <v>45006075.6</v>
      </c>
      <c r="C23" s="27" t="s">
        <v>43</v>
      </c>
    </row>
    <row r="24" spans="1:3" ht="12.75">
      <c r="A24" s="25">
        <v>2020</v>
      </c>
      <c r="B24" s="26">
        <f>'EVOLUÇÃO DA RECEITA'!C7</f>
        <v>47989591.81</v>
      </c>
      <c r="C24" s="27">
        <f aca="true" t="shared" si="1" ref="C24:C29">(B24-B23)/B23</f>
        <v>0.06629140999798705</v>
      </c>
    </row>
    <row r="25" spans="1:3" ht="12.75">
      <c r="A25" s="25">
        <v>2021</v>
      </c>
      <c r="B25" s="26">
        <f>'EVOLUÇÃO DA RECEITA'!D7</f>
        <v>53125628.47</v>
      </c>
      <c r="C25" s="27">
        <f t="shared" si="1"/>
        <v>0.10702397053791478</v>
      </c>
    </row>
    <row r="26" spans="1:3" ht="12.75">
      <c r="A26" s="25">
        <v>2022</v>
      </c>
      <c r="B26" s="26">
        <f>'EVOLUÇÃO DA RECEITA'!E7</f>
        <v>59084000</v>
      </c>
      <c r="C26" s="27">
        <f t="shared" si="1"/>
        <v>0.11215625493004171</v>
      </c>
    </row>
    <row r="27" spans="1:3" ht="12.75">
      <c r="A27" s="25">
        <v>2023</v>
      </c>
      <c r="B27" s="26">
        <f>'EVOLUÇÃO DA RECEITA'!F7</f>
        <v>61234000</v>
      </c>
      <c r="C27" s="27">
        <f t="shared" si="1"/>
        <v>0.036388870083271276</v>
      </c>
    </row>
    <row r="28" spans="1:3" ht="12.75">
      <c r="A28" s="25">
        <v>2024</v>
      </c>
      <c r="B28" s="26">
        <f>'EVOLUÇÃO DA RECEITA'!G7</f>
        <v>63173000</v>
      </c>
      <c r="C28" s="27">
        <f t="shared" si="1"/>
        <v>0.03166541463892609</v>
      </c>
    </row>
    <row r="29" spans="1:3" ht="12.75">
      <c r="A29" s="25">
        <v>2025</v>
      </c>
      <c r="B29" s="26">
        <f>'EVOLUÇÃO DA RECEITA'!H7</f>
        <v>54049000</v>
      </c>
      <c r="C29" s="27">
        <f t="shared" si="1"/>
        <v>-0.14442879078087156</v>
      </c>
    </row>
    <row r="30" spans="1:3" ht="12.75">
      <c r="A30" s="116" t="s">
        <v>112</v>
      </c>
      <c r="B30" s="116"/>
      <c r="C30" s="116"/>
    </row>
    <row r="32" ht="12.75">
      <c r="A32" s="5" t="s">
        <v>21</v>
      </c>
    </row>
    <row r="33" spans="1:3" ht="12.75">
      <c r="A33" s="105" t="s">
        <v>249</v>
      </c>
      <c r="B33" s="105"/>
      <c r="C33" s="105"/>
    </row>
    <row r="36" spans="1:3" ht="12.75">
      <c r="A36" s="117" t="s">
        <v>44</v>
      </c>
      <c r="B36" s="117"/>
      <c r="C36" s="117"/>
    </row>
    <row r="38" spans="1:3" ht="12.75">
      <c r="A38" s="118" t="s">
        <v>40</v>
      </c>
      <c r="B38" s="118" t="s">
        <v>41</v>
      </c>
      <c r="C38" s="118" t="s">
        <v>42</v>
      </c>
    </row>
    <row r="39" spans="1:3" ht="12.75">
      <c r="A39" s="118"/>
      <c r="B39" s="118"/>
      <c r="C39" s="118"/>
    </row>
    <row r="40" spans="1:3" ht="12.75">
      <c r="A40" s="25">
        <v>2019</v>
      </c>
      <c r="B40" s="26">
        <f>'EVOLUÇÃO DA RECEITA'!B8</f>
        <v>66041966.92</v>
      </c>
      <c r="C40" s="27" t="s">
        <v>43</v>
      </c>
    </row>
    <row r="41" spans="1:3" ht="12.75">
      <c r="A41" s="25">
        <v>2020</v>
      </c>
      <c r="B41" s="26">
        <f>'EVOLUÇÃO DA RECEITA'!C8</f>
        <v>129181548.81</v>
      </c>
      <c r="C41" s="27">
        <f aca="true" t="shared" si="2" ref="C41:C46">(B41-B40)/B40</f>
        <v>0.9560524138610861</v>
      </c>
    </row>
    <row r="42" spans="1:3" ht="12.75">
      <c r="A42" s="25">
        <v>2021</v>
      </c>
      <c r="B42" s="26">
        <f>'EVOLUÇÃO DA RECEITA'!D8</f>
        <v>103993322.03</v>
      </c>
      <c r="C42" s="27">
        <f t="shared" si="2"/>
        <v>-0.19498316138821653</v>
      </c>
    </row>
    <row r="43" spans="1:3" ht="12.75">
      <c r="A43" s="25">
        <v>2022</v>
      </c>
      <c r="B43" s="26">
        <f>'EVOLUÇÃO DA RECEITA'!E8</f>
        <v>33979290.64</v>
      </c>
      <c r="C43" s="27">
        <f t="shared" si="2"/>
        <v>-0.6732550708381289</v>
      </c>
    </row>
    <row r="44" spans="1:3" ht="12.75">
      <c r="A44" s="25">
        <v>2023</v>
      </c>
      <c r="B44" s="26">
        <f>'EVOLUÇÃO DA RECEITA'!F8</f>
        <v>35301288.17</v>
      </c>
      <c r="C44" s="27">
        <f t="shared" si="2"/>
        <v>0.03890597787947233</v>
      </c>
    </row>
    <row r="45" spans="1:3" ht="12.75">
      <c r="A45" s="25">
        <v>2024</v>
      </c>
      <c r="B45" s="26">
        <f>'EVOLUÇÃO DA RECEITA'!G8</f>
        <v>36433071.21</v>
      </c>
      <c r="C45" s="27">
        <f t="shared" si="2"/>
        <v>0.03206067253267599</v>
      </c>
    </row>
    <row r="46" spans="1:3" ht="12.75">
      <c r="A46" s="25">
        <v>2025</v>
      </c>
      <c r="B46" s="26">
        <f>'EVOLUÇÃO DA RECEITA'!H8</f>
        <v>37066374.42</v>
      </c>
      <c r="C46" s="27">
        <f t="shared" si="2"/>
        <v>0.017382646836157322</v>
      </c>
    </row>
    <row r="47" spans="1:3" ht="12.75">
      <c r="A47" s="116" t="s">
        <v>112</v>
      </c>
      <c r="B47" s="116"/>
      <c r="C47" s="116"/>
    </row>
    <row r="49" ht="12.75">
      <c r="A49" s="5" t="s">
        <v>21</v>
      </c>
    </row>
    <row r="50" spans="1:3" ht="12.75">
      <c r="A50" s="105" t="s">
        <v>249</v>
      </c>
      <c r="B50" s="105"/>
      <c r="C50" s="105"/>
    </row>
    <row r="51" ht="12.75">
      <c r="A51" s="5"/>
    </row>
    <row r="52" spans="1:3" ht="12.75">
      <c r="A52" s="117" t="s">
        <v>45</v>
      </c>
      <c r="B52" s="117"/>
      <c r="C52" s="117"/>
    </row>
    <row r="54" spans="1:3" ht="12.75">
      <c r="A54" s="118" t="s">
        <v>40</v>
      </c>
      <c r="B54" s="118" t="s">
        <v>41</v>
      </c>
      <c r="C54" s="118" t="s">
        <v>42</v>
      </c>
    </row>
    <row r="55" spans="1:3" ht="12.75">
      <c r="A55" s="118"/>
      <c r="B55" s="118"/>
      <c r="C55" s="118"/>
    </row>
    <row r="56" spans="1:3" ht="12.75">
      <c r="A56" s="25">
        <v>2019</v>
      </c>
      <c r="B56" s="26">
        <f>'EVOLUÇÃO DA RECEITA'!B11</f>
        <v>383393849.01</v>
      </c>
      <c r="C56" s="27" t="s">
        <v>43</v>
      </c>
    </row>
    <row r="57" spans="1:3" ht="12.75">
      <c r="A57" s="25">
        <v>2020</v>
      </c>
      <c r="B57" s="26">
        <f>'EVOLUÇÃO DA RECEITA'!C11</f>
        <v>441412378.71</v>
      </c>
      <c r="C57" s="27">
        <f aca="true" t="shared" si="3" ref="C57:C62">(B57-B56)/B56</f>
        <v>0.1513287963534509</v>
      </c>
    </row>
    <row r="58" spans="1:3" ht="12.75">
      <c r="A58" s="25">
        <v>2021</v>
      </c>
      <c r="B58" s="26">
        <f>'EVOLUÇÃO DA RECEITA'!D11</f>
        <v>491535422.77</v>
      </c>
      <c r="C58" s="27">
        <f t="shared" si="3"/>
        <v>0.11355151436052033</v>
      </c>
    </row>
    <row r="59" spans="1:3" ht="12.75">
      <c r="A59" s="25">
        <v>2022</v>
      </c>
      <c r="B59" s="26">
        <f>'EVOLUÇÃO DA RECEITA'!E11</f>
        <v>511826057.54</v>
      </c>
      <c r="C59" s="27">
        <f t="shared" si="3"/>
        <v>0.04128010684490274</v>
      </c>
    </row>
    <row r="60" spans="1:3" ht="12.75">
      <c r="A60" s="25">
        <v>2023</v>
      </c>
      <c r="B60" s="26">
        <f>'EVOLUÇÃO DA RECEITA'!F11</f>
        <v>528566730.07</v>
      </c>
      <c r="C60" s="27">
        <f t="shared" si="3"/>
        <v>0.03270773787966366</v>
      </c>
    </row>
    <row r="61" spans="1:3" ht="12.75">
      <c r="A61" s="25">
        <v>2024</v>
      </c>
      <c r="B61" s="26">
        <f>'EVOLUÇÃO DA RECEITA'!G11</f>
        <v>547815756.29</v>
      </c>
      <c r="C61" s="27">
        <f t="shared" si="3"/>
        <v>0.03641740034877101</v>
      </c>
    </row>
    <row r="62" spans="1:3" ht="12.75">
      <c r="A62" s="25">
        <v>2025</v>
      </c>
      <c r="B62" s="26">
        <f>'EVOLUÇÃO DA RECEITA'!H11</f>
        <v>564023842.98</v>
      </c>
      <c r="C62" s="27">
        <f t="shared" si="3"/>
        <v>0.029586747923730585</v>
      </c>
    </row>
    <row r="63" spans="1:3" ht="12.75">
      <c r="A63" s="116" t="s">
        <v>112</v>
      </c>
      <c r="B63" s="116"/>
      <c r="C63" s="116"/>
    </row>
    <row r="64" ht="12.75">
      <c r="A64" s="5"/>
    </row>
    <row r="65" ht="12.75">
      <c r="A65" s="5" t="s">
        <v>21</v>
      </c>
    </row>
    <row r="66" spans="1:3" ht="12.75">
      <c r="A66" s="105" t="s">
        <v>249</v>
      </c>
      <c r="B66" s="105"/>
      <c r="C66" s="105"/>
    </row>
    <row r="67" ht="12.75">
      <c r="A67" s="5"/>
    </row>
    <row r="68" ht="12.75">
      <c r="A68" s="5"/>
    </row>
    <row r="69" spans="1:3" ht="12.75">
      <c r="A69" s="117" t="s">
        <v>46</v>
      </c>
      <c r="B69" s="117"/>
      <c r="C69" s="117"/>
    </row>
    <row r="71" spans="1:3" ht="12.75">
      <c r="A71" s="118" t="s">
        <v>40</v>
      </c>
      <c r="B71" s="118" t="s">
        <v>41</v>
      </c>
      <c r="C71" s="118" t="s">
        <v>42</v>
      </c>
    </row>
    <row r="72" spans="1:3" ht="12.75">
      <c r="A72" s="118"/>
      <c r="B72" s="118"/>
      <c r="C72" s="118"/>
    </row>
    <row r="73" spans="1:3" ht="12.75">
      <c r="A73" s="25">
        <v>2019</v>
      </c>
      <c r="B73" s="26">
        <f>'EVOLUÇÃO DA RECEITA'!B12</f>
        <v>16219792.52</v>
      </c>
      <c r="C73" s="27" t="s">
        <v>43</v>
      </c>
    </row>
    <row r="74" spans="1:3" ht="12.75">
      <c r="A74" s="25">
        <v>2020</v>
      </c>
      <c r="B74" s="26">
        <f>'EVOLUÇÃO DA RECEITA'!C12</f>
        <v>13810015.96</v>
      </c>
      <c r="C74" s="27">
        <f aca="true" t="shared" si="4" ref="C74:C79">(B74-B73)/B73</f>
        <v>-0.1485701224000613</v>
      </c>
    </row>
    <row r="75" spans="1:3" ht="12.75">
      <c r="A75" s="25">
        <v>2021</v>
      </c>
      <c r="B75" s="26">
        <f>'EVOLUÇÃO DA RECEITA'!D12</f>
        <v>11739366.29</v>
      </c>
      <c r="C75" s="27">
        <f t="shared" si="4"/>
        <v>-0.1499382532212513</v>
      </c>
    </row>
    <row r="76" spans="1:3" ht="12.75">
      <c r="A76" s="25">
        <v>2022</v>
      </c>
      <c r="B76" s="26">
        <f>'EVOLUÇÃO DA RECEITA'!E12</f>
        <v>11206400</v>
      </c>
      <c r="C76" s="27">
        <f t="shared" si="4"/>
        <v>-0.045399919964504244</v>
      </c>
    </row>
    <row r="77" spans="1:3" ht="12.75">
      <c r="A77" s="25">
        <v>2023</v>
      </c>
      <c r="B77" s="26">
        <f>'EVOLUÇÃO DA RECEITA'!F12</f>
        <v>12919200</v>
      </c>
      <c r="C77" s="27">
        <f t="shared" si="4"/>
        <v>0.15284123358081098</v>
      </c>
    </row>
    <row r="78" spans="1:3" ht="12.75">
      <c r="A78" s="25">
        <v>2024</v>
      </c>
      <c r="B78" s="26">
        <f>'EVOLUÇÃO DA RECEITA'!G12</f>
        <v>13341002.5</v>
      </c>
      <c r="C78" s="27">
        <f t="shared" si="4"/>
        <v>0.03264927394885132</v>
      </c>
    </row>
    <row r="79" spans="1:3" ht="12.75">
      <c r="A79" s="25">
        <v>2025</v>
      </c>
      <c r="B79" s="26">
        <f>'EVOLUÇÃO DA RECEITA'!H12</f>
        <v>12550632.6</v>
      </c>
      <c r="C79" s="27">
        <f t="shared" si="4"/>
        <v>-0.059243666283699474</v>
      </c>
    </row>
    <row r="80" spans="1:3" ht="12.75">
      <c r="A80" s="116" t="s">
        <v>112</v>
      </c>
      <c r="B80" s="116"/>
      <c r="C80" s="116"/>
    </row>
    <row r="82" ht="12.75">
      <c r="A82" s="5" t="s">
        <v>21</v>
      </c>
    </row>
    <row r="83" spans="1:3" ht="12.75">
      <c r="A83" s="105" t="s">
        <v>249</v>
      </c>
      <c r="B83" s="105"/>
      <c r="C83" s="105"/>
    </row>
    <row r="86" spans="1:3" ht="12.75">
      <c r="A86" s="117" t="s">
        <v>47</v>
      </c>
      <c r="B86" s="117"/>
      <c r="C86" s="117"/>
    </row>
    <row r="88" spans="1:3" ht="12.75">
      <c r="A88" s="118" t="s">
        <v>40</v>
      </c>
      <c r="B88" s="118" t="s">
        <v>41</v>
      </c>
      <c r="C88" s="118" t="s">
        <v>42</v>
      </c>
    </row>
    <row r="89" spans="1:3" ht="12.75">
      <c r="A89" s="118"/>
      <c r="B89" s="118"/>
      <c r="C89" s="118"/>
    </row>
    <row r="90" spans="1:3" ht="12.75">
      <c r="A90" s="25">
        <v>2019</v>
      </c>
      <c r="B90" s="26">
        <f>'EVOLUÇÃO DA RECEITA'!B15</f>
        <v>9582608.97</v>
      </c>
      <c r="C90" s="27" t="s">
        <v>43</v>
      </c>
    </row>
    <row r="91" spans="1:3" ht="12.75">
      <c r="A91" s="25">
        <v>2020</v>
      </c>
      <c r="B91" s="26">
        <f>'EVOLUÇÃO DA RECEITA'!C15</f>
        <v>14836364.39</v>
      </c>
      <c r="C91" s="27">
        <f>(B91-B90)/B90</f>
        <v>0.5482593974613575</v>
      </c>
    </row>
    <row r="92" spans="1:3" ht="12.75">
      <c r="A92" s="25">
        <v>2021</v>
      </c>
      <c r="B92" s="26">
        <f>'EVOLUÇÃO DA RECEITA'!D15</f>
        <v>10262513.1</v>
      </c>
      <c r="C92" s="27">
        <f>(B92-B91)/B91</f>
        <v>-0.30828652962196496</v>
      </c>
    </row>
    <row r="93" spans="1:3" ht="12.75">
      <c r="A93" s="25">
        <v>2022</v>
      </c>
      <c r="B93" s="26">
        <f>'EVOLUÇÃO DA RECEITA'!E15</f>
        <v>15360000</v>
      </c>
      <c r="C93" s="27">
        <f>(B93-B92)/B92</f>
        <v>0.4967094171114871</v>
      </c>
    </row>
    <row r="94" spans="1:3" ht="12.75">
      <c r="A94" s="25">
        <v>2023</v>
      </c>
      <c r="B94" s="26">
        <f>'EVOLUÇÃO DA RECEITA'!F15</f>
        <v>25000000</v>
      </c>
      <c r="C94" s="27">
        <f>(B94-B93)/B93</f>
        <v>0.6276041666666666</v>
      </c>
    </row>
    <row r="95" spans="1:3" ht="12.75">
      <c r="A95" s="25">
        <v>2024</v>
      </c>
      <c r="B95" s="26">
        <f>'EVOLUÇÃO DA RECEITA'!G15</f>
        <v>12500000</v>
      </c>
      <c r="C95" s="27">
        <v>0</v>
      </c>
    </row>
    <row r="96" spans="1:3" ht="12.75">
      <c r="A96" s="25">
        <v>2025</v>
      </c>
      <c r="B96" s="26">
        <f>'EVOLUÇÃO DA RECEITA'!H15</f>
        <v>0</v>
      </c>
      <c r="C96" s="27">
        <v>0</v>
      </c>
    </row>
    <row r="97" spans="1:3" ht="12.75">
      <c r="A97" s="116" t="s">
        <v>112</v>
      </c>
      <c r="B97" s="116"/>
      <c r="C97" s="116"/>
    </row>
    <row r="99" ht="12.75">
      <c r="A99" s="5" t="s">
        <v>21</v>
      </c>
    </row>
    <row r="100" spans="1:3" ht="12.75">
      <c r="A100" s="105" t="s">
        <v>249</v>
      </c>
      <c r="B100" s="105"/>
      <c r="C100" s="105"/>
    </row>
    <row r="102" spans="1:3" ht="12.75">
      <c r="A102" s="117" t="s">
        <v>48</v>
      </c>
      <c r="B102" s="117"/>
      <c r="C102" s="117"/>
    </row>
    <row r="104" spans="1:3" ht="12.75">
      <c r="A104" s="118" t="s">
        <v>40</v>
      </c>
      <c r="B104" s="118" t="s">
        <v>41</v>
      </c>
      <c r="C104" s="118" t="s">
        <v>42</v>
      </c>
    </row>
    <row r="105" spans="1:3" ht="12.75">
      <c r="A105" s="118"/>
      <c r="B105" s="118"/>
      <c r="C105" s="118"/>
    </row>
    <row r="106" spans="1:3" ht="12.75">
      <c r="A106" s="25">
        <v>2019</v>
      </c>
      <c r="B106" s="26">
        <f>'EVOLUÇÃO DA RECEITA'!B17</f>
        <v>31172.53</v>
      </c>
      <c r="C106" s="27" t="s">
        <v>43</v>
      </c>
    </row>
    <row r="107" spans="1:3" ht="12.75">
      <c r="A107" s="25">
        <v>2020</v>
      </c>
      <c r="B107" s="26">
        <f>'EVOLUÇÃO DA RECEITA'!C17</f>
        <v>45508.32</v>
      </c>
      <c r="C107" s="27">
        <f aca="true" t="shared" si="5" ref="C107:C112">(B107-B106)/B106</f>
        <v>0.4598853541884474</v>
      </c>
    </row>
    <row r="108" spans="1:3" ht="12.75">
      <c r="A108" s="25">
        <v>2021</v>
      </c>
      <c r="B108" s="26">
        <f>'EVOLUÇÃO DA RECEITA'!D17</f>
        <v>58339.43</v>
      </c>
      <c r="C108" s="27">
        <f t="shared" si="5"/>
        <v>0.2819508608535758</v>
      </c>
    </row>
    <row r="109" spans="1:3" ht="12.75">
      <c r="A109" s="25">
        <v>2022</v>
      </c>
      <c r="B109" s="26">
        <f>'EVOLUÇÃO DA RECEITA'!E17</f>
        <v>31400</v>
      </c>
      <c r="C109" s="27">
        <f t="shared" si="5"/>
        <v>-0.4617705383820171</v>
      </c>
    </row>
    <row r="110" spans="1:3" ht="12.75">
      <c r="A110" s="25">
        <v>2023</v>
      </c>
      <c r="B110" s="26">
        <f>'EVOLUÇÃO DA RECEITA'!F17</f>
        <v>32500</v>
      </c>
      <c r="C110" s="27">
        <f t="shared" si="5"/>
        <v>0.03503184713375796</v>
      </c>
    </row>
    <row r="111" spans="1:3" ht="12.75">
      <c r="A111" s="25">
        <v>2024</v>
      </c>
      <c r="B111" s="26">
        <f>'EVOLUÇÃO DA RECEITA'!G17</f>
        <v>33550</v>
      </c>
      <c r="C111" s="27">
        <f t="shared" si="5"/>
        <v>0.03230769230769231</v>
      </c>
    </row>
    <row r="112" spans="1:3" ht="12.75">
      <c r="A112" s="25">
        <v>2025</v>
      </c>
      <c r="B112" s="26">
        <f>'EVOLUÇÃO DA RECEITA'!H17</f>
        <v>33550</v>
      </c>
      <c r="C112" s="27">
        <f t="shared" si="5"/>
        <v>0</v>
      </c>
    </row>
    <row r="113" spans="1:3" ht="12.75">
      <c r="A113" s="116" t="s">
        <v>112</v>
      </c>
      <c r="B113" s="116"/>
      <c r="C113" s="116"/>
    </row>
    <row r="115" ht="12.75">
      <c r="A115" s="5" t="s">
        <v>21</v>
      </c>
    </row>
    <row r="116" spans="1:3" ht="12.75">
      <c r="A116" s="105" t="s">
        <v>249</v>
      </c>
      <c r="B116" s="105"/>
      <c r="C116" s="105"/>
    </row>
    <row r="119" spans="1:3" ht="12.75">
      <c r="A119" s="117" t="s">
        <v>49</v>
      </c>
      <c r="B119" s="117"/>
      <c r="C119" s="117"/>
    </row>
    <row r="121" spans="1:3" ht="12.75">
      <c r="A121" s="118" t="s">
        <v>40</v>
      </c>
      <c r="B121" s="118" t="s">
        <v>41</v>
      </c>
      <c r="C121" s="118" t="s">
        <v>42</v>
      </c>
    </row>
    <row r="122" spans="1:3" ht="12.75">
      <c r="A122" s="118"/>
      <c r="B122" s="118"/>
      <c r="C122" s="118"/>
    </row>
    <row r="123" spans="1:3" ht="12.75">
      <c r="A123" s="25">
        <v>2019</v>
      </c>
      <c r="B123" s="26">
        <f>'EVOLUÇÃO DA RECEITA'!B16</f>
        <v>183820.02</v>
      </c>
      <c r="C123" s="27" t="s">
        <v>43</v>
      </c>
    </row>
    <row r="124" spans="1:3" ht="12.75">
      <c r="A124" s="25">
        <v>2020</v>
      </c>
      <c r="B124" s="26">
        <f>'EVOLUÇÃO DA RECEITA'!C16</f>
        <v>1403175.36</v>
      </c>
      <c r="C124" s="27">
        <f aca="true" t="shared" si="6" ref="C124:C129">(B124-B123)/B123</f>
        <v>6.633419689541978</v>
      </c>
    </row>
    <row r="125" spans="1:3" ht="12.75">
      <c r="A125" s="25">
        <v>2021</v>
      </c>
      <c r="B125" s="26">
        <f>'EVOLUÇÃO DA RECEITA'!D16</f>
        <v>701415.92</v>
      </c>
      <c r="C125" s="27">
        <f t="shared" si="6"/>
        <v>-0.5001224080787736</v>
      </c>
    </row>
    <row r="126" spans="1:3" ht="12.75">
      <c r="A126" s="25">
        <v>2022</v>
      </c>
      <c r="B126" s="26">
        <f>'EVOLUÇÃO DA RECEITA'!E16</f>
        <v>2768000</v>
      </c>
      <c r="C126" s="27">
        <f t="shared" si="6"/>
        <v>2.9463033573575004</v>
      </c>
    </row>
    <row r="127" spans="1:3" ht="12.75">
      <c r="A127" s="25">
        <v>2023</v>
      </c>
      <c r="B127" s="26">
        <f>'EVOLUÇÃO DA RECEITA'!F16</f>
        <v>14930000</v>
      </c>
      <c r="C127" s="27">
        <f t="shared" si="6"/>
        <v>4.39378612716763</v>
      </c>
    </row>
    <row r="128" spans="1:3" ht="12.75">
      <c r="A128" s="25">
        <v>2024</v>
      </c>
      <c r="B128" s="26">
        <f>'EVOLUÇÃO DA RECEITA'!G16</f>
        <v>1960000</v>
      </c>
      <c r="C128" s="27">
        <f t="shared" si="6"/>
        <v>-0.8687206965840589</v>
      </c>
    </row>
    <row r="129" spans="1:3" ht="12.75">
      <c r="A129" s="25">
        <v>2025</v>
      </c>
      <c r="B129" s="26">
        <f>'EVOLUÇÃO DA RECEITA'!H16</f>
        <v>1960000</v>
      </c>
      <c r="C129" s="27">
        <f t="shared" si="6"/>
        <v>0</v>
      </c>
    </row>
    <row r="130" spans="1:3" ht="12.75">
      <c r="A130" s="116" t="s">
        <v>112</v>
      </c>
      <c r="B130" s="116"/>
      <c r="C130" s="116"/>
    </row>
    <row r="132" ht="12.75">
      <c r="A132" s="5" t="s">
        <v>21</v>
      </c>
    </row>
    <row r="133" spans="1:3" ht="12.75">
      <c r="A133" s="105" t="s">
        <v>249</v>
      </c>
      <c r="B133" s="105"/>
      <c r="C133" s="105"/>
    </row>
    <row r="134" spans="1:3" ht="12.75">
      <c r="A134" s="105" t="s">
        <v>232</v>
      </c>
      <c r="B134" s="105"/>
      <c r="C134" s="105"/>
    </row>
  </sheetData>
  <sheetProtection/>
  <mergeCells count="49">
    <mergeCell ref="A134:C134"/>
    <mergeCell ref="A2:C2"/>
    <mergeCell ref="A4:A5"/>
    <mergeCell ref="B4:B5"/>
    <mergeCell ref="C4:C5"/>
    <mergeCell ref="A16:C16"/>
    <mergeCell ref="A19:C19"/>
    <mergeCell ref="A13:C13"/>
    <mergeCell ref="A63:C63"/>
    <mergeCell ref="A21:A22"/>
    <mergeCell ref="B21:B22"/>
    <mergeCell ref="C21:C22"/>
    <mergeCell ref="A36:C36"/>
    <mergeCell ref="A38:A39"/>
    <mergeCell ref="B38:B39"/>
    <mergeCell ref="C38:C39"/>
    <mergeCell ref="A30:C30"/>
    <mergeCell ref="A50:C50"/>
    <mergeCell ref="A52:C52"/>
    <mergeCell ref="A54:A55"/>
    <mergeCell ref="B54:B55"/>
    <mergeCell ref="C54:C55"/>
    <mergeCell ref="A33:C33"/>
    <mergeCell ref="A47:C47"/>
    <mergeCell ref="A133:C133"/>
    <mergeCell ref="A88:A89"/>
    <mergeCell ref="B88:B89"/>
    <mergeCell ref="C88:C89"/>
    <mergeCell ref="A100:C100"/>
    <mergeCell ref="A102:C102"/>
    <mergeCell ref="A104:A105"/>
    <mergeCell ref="B104:B105"/>
    <mergeCell ref="C104:C105"/>
    <mergeCell ref="A113:C113"/>
    <mergeCell ref="A80:C80"/>
    <mergeCell ref="A97:C97"/>
    <mergeCell ref="A83:C83"/>
    <mergeCell ref="A86:C86"/>
    <mergeCell ref="A66:C66"/>
    <mergeCell ref="A69:C69"/>
    <mergeCell ref="A71:A72"/>
    <mergeCell ref="B71:B72"/>
    <mergeCell ref="C71:C72"/>
    <mergeCell ref="A130:C130"/>
    <mergeCell ref="A116:C116"/>
    <mergeCell ref="A119:C119"/>
    <mergeCell ref="A121:A122"/>
    <mergeCell ref="B121:B122"/>
    <mergeCell ref="C121:C122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portrait" paperSize="9" r:id="rId1"/>
  <headerFooter alignWithMargins="0">
    <oddHeader>&amp;CMEMÓRIA E METODOLOGIA I  
Prefeitura Municipal de Santa Maria  
Lei de Diretrizes Orçamentárias  
Memória e Metodologia de Cálculo  
METAS ANUAIS PARA A RECEITA - DEMONSTRATIVO DA VARIAÇÃO DA RECEITA  
2023  
</oddHeader>
  </headerFooter>
  <rowBreaks count="2" manualBreakCount="2">
    <brk id="50" max="255" man="1"/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36" sqref="F36"/>
    </sheetView>
  </sheetViews>
  <sheetFormatPr defaultColWidth="11.28125" defaultRowHeight="12.75"/>
  <cols>
    <col min="1" max="1" width="52.00390625" style="1" customWidth="1"/>
    <col min="2" max="2" width="15.00390625" style="1" customWidth="1"/>
    <col min="3" max="3" width="14.140625" style="1" customWidth="1"/>
    <col min="4" max="4" width="13.7109375" style="1" customWidth="1"/>
    <col min="5" max="16384" width="11.28125" style="1" customWidth="1"/>
  </cols>
  <sheetData>
    <row r="1" spans="1:4" ht="12.75">
      <c r="A1" s="119" t="s">
        <v>50</v>
      </c>
      <c r="B1" s="120">
        <v>2022</v>
      </c>
      <c r="C1" s="120">
        <v>2023</v>
      </c>
      <c r="D1" s="120">
        <v>2024</v>
      </c>
    </row>
    <row r="2" spans="1:4" ht="16.5" customHeight="1">
      <c r="A2" s="119"/>
      <c r="B2" s="120"/>
      <c r="C2" s="120"/>
      <c r="D2" s="120"/>
    </row>
    <row r="3" spans="1:4" ht="12.75">
      <c r="A3" s="45" t="s">
        <v>1</v>
      </c>
      <c r="B3" s="46">
        <f>SUM(B4+B9+B10+B11+B12+B13+B21)</f>
        <v>920473518.24</v>
      </c>
      <c r="C3" s="46">
        <f>SUM(C4+C9+C10+C11+C12+C13+C21)</f>
        <v>957436730</v>
      </c>
      <c r="D3" s="46">
        <f>SUM(D4+D9+D10+D11+D12+D13+D21)</f>
        <v>977250850.0000001</v>
      </c>
    </row>
    <row r="4" spans="1:4" ht="12.75">
      <c r="A4" s="31" t="s">
        <v>121</v>
      </c>
      <c r="B4" s="48">
        <f>SUM(B5:B8)</f>
        <v>282452300</v>
      </c>
      <c r="C4" s="48">
        <f>SUM(C5:C8)</f>
        <v>296673900</v>
      </c>
      <c r="D4" s="48">
        <f>SUM(D5:D8)</f>
        <v>309561000</v>
      </c>
    </row>
    <row r="5" spans="1:4" ht="12.75">
      <c r="A5" s="47" t="s">
        <v>51</v>
      </c>
      <c r="B5" s="48">
        <f>'METAS ANUAIS PARA A RECEITA'!D5</f>
        <v>56671000</v>
      </c>
      <c r="C5" s="48">
        <f>'METAS ANUAIS PARA A RECEITA'!E5</f>
        <v>60210000</v>
      </c>
      <c r="D5" s="48">
        <f>'METAS ANUAIS PARA A RECEITA'!F5</f>
        <v>62017000</v>
      </c>
    </row>
    <row r="6" spans="1:4" ht="12.75">
      <c r="A6" s="47" t="s">
        <v>3</v>
      </c>
      <c r="B6" s="48">
        <f>'METAS ANUAIS PARA A RECEITA'!D6</f>
        <v>39105000</v>
      </c>
      <c r="C6" s="48">
        <f>'METAS ANUAIS PARA A RECEITA'!E6</f>
        <v>40550000</v>
      </c>
      <c r="D6" s="48">
        <f>'METAS ANUAIS PARA A RECEITA'!F6</f>
        <v>42050000</v>
      </c>
    </row>
    <row r="7" spans="1:4" ht="12.75">
      <c r="A7" s="47" t="s">
        <v>4</v>
      </c>
      <c r="B7" s="48">
        <f>'METAS ANUAIS PARA A RECEITA'!D7</f>
        <v>91133000</v>
      </c>
      <c r="C7" s="48">
        <f>'METAS ANUAIS PARA A RECEITA'!E7</f>
        <v>97340000</v>
      </c>
      <c r="D7" s="48">
        <f>'METAS ANUAIS PARA A RECEITA'!F7</f>
        <v>103970000</v>
      </c>
    </row>
    <row r="8" spans="1:4" ht="12.75">
      <c r="A8" s="47" t="s">
        <v>5</v>
      </c>
      <c r="B8" s="48">
        <f>'METAS ANUAIS PARA A RECEITA'!D8</f>
        <v>95543300</v>
      </c>
      <c r="C8" s="48">
        <f>'METAS ANUAIS PARA A RECEITA'!E8</f>
        <v>98573900</v>
      </c>
      <c r="D8" s="48">
        <f>'METAS ANUAIS PARA A RECEITA'!F8</f>
        <v>101524000</v>
      </c>
    </row>
    <row r="9" spans="1:4" ht="12.75">
      <c r="A9" s="47" t="s">
        <v>52</v>
      </c>
      <c r="B9" s="48">
        <f>'METAS ANUAIS PARA A RECEITA'!D9</f>
        <v>61234000</v>
      </c>
      <c r="C9" s="48">
        <f>'METAS ANUAIS PARA A RECEITA'!E9</f>
        <v>63173000</v>
      </c>
      <c r="D9" s="48">
        <f>'METAS ANUAIS PARA A RECEITA'!F9</f>
        <v>54049000</v>
      </c>
    </row>
    <row r="10" spans="1:4" ht="12.75">
      <c r="A10" s="47" t="s">
        <v>6</v>
      </c>
      <c r="B10" s="48">
        <f>'METAS ANUAIS PARA A RECEITA'!D10</f>
        <v>35301288.17</v>
      </c>
      <c r="C10" s="48">
        <f>'METAS ANUAIS PARA A RECEITA'!E10</f>
        <v>36433071.21</v>
      </c>
      <c r="D10" s="48">
        <f>'METAS ANUAIS PARA A RECEITA'!F10</f>
        <v>37066374.42</v>
      </c>
    </row>
    <row r="11" spans="1:4" ht="12.75">
      <c r="A11" s="47" t="s">
        <v>7</v>
      </c>
      <c r="B11" s="48">
        <f>'METAS ANUAIS PARA A RECEITA'!D11</f>
        <v>0</v>
      </c>
      <c r="C11" s="48">
        <f>'METAS ANUAIS PARA A RECEITA'!E11</f>
        <v>0</v>
      </c>
      <c r="D11" s="48">
        <f>'METAS ANUAIS PARA A RECEITA'!F11</f>
        <v>0</v>
      </c>
    </row>
    <row r="12" spans="1:4" ht="12.75">
      <c r="A12" s="47" t="s">
        <v>53</v>
      </c>
      <c r="B12" s="48">
        <f>'METAS ANUAIS PARA A RECEITA'!D12</f>
        <v>0</v>
      </c>
      <c r="C12" s="48">
        <f>'METAS ANUAIS PARA A RECEITA'!E12</f>
        <v>0</v>
      </c>
      <c r="D12" s="48">
        <f>'METAS ANUAIS PARA A RECEITA'!F12</f>
        <v>0</v>
      </c>
    </row>
    <row r="13" spans="1:4" ht="12.75">
      <c r="A13" s="47" t="s">
        <v>9</v>
      </c>
      <c r="B13" s="48">
        <f>SUM(B14:B20)</f>
        <v>528566730.07</v>
      </c>
      <c r="C13" s="48">
        <f>SUM(C14:C20)</f>
        <v>547815756.29</v>
      </c>
      <c r="D13" s="48">
        <f>SUM(D14:D20)</f>
        <v>564023842.98</v>
      </c>
    </row>
    <row r="14" spans="1:4" ht="12.75">
      <c r="A14" s="47" t="s">
        <v>10</v>
      </c>
      <c r="B14" s="48">
        <f>'METAS ANUAIS PARA A RECEITA'!D14</f>
        <v>111080000</v>
      </c>
      <c r="C14" s="48">
        <f>'METAS ANUAIS PARA A RECEITA'!E14</f>
        <v>114580000</v>
      </c>
      <c r="D14" s="48">
        <f>'METAS ANUAIS PARA A RECEITA'!F14</f>
        <v>118017000</v>
      </c>
    </row>
    <row r="15" spans="1:4" ht="12.75">
      <c r="A15" s="47" t="s">
        <v>11</v>
      </c>
      <c r="B15" s="48">
        <f>'METAS ANUAIS PARA A RECEITA'!D15</f>
        <v>141803000</v>
      </c>
      <c r="C15" s="48">
        <f>'METAS ANUAIS PARA A RECEITA'!E15</f>
        <v>146270000</v>
      </c>
      <c r="D15" s="48">
        <f>'METAS ANUAIS PARA A RECEITA'!F15</f>
        <v>150658000</v>
      </c>
    </row>
    <row r="16" spans="1:4" ht="12.75">
      <c r="A16" s="47" t="s">
        <v>54</v>
      </c>
      <c r="B16" s="48">
        <f>'METAS ANUAIS PARA A RECEITA'!D16</f>
        <v>61157000</v>
      </c>
      <c r="C16" s="48">
        <f>'METAS ANUAIS PARA A RECEITA'!E16</f>
        <v>63083000</v>
      </c>
      <c r="D16" s="48">
        <f>'METAS ANUAIS PARA A RECEITA'!F16</f>
        <v>64975000</v>
      </c>
    </row>
    <row r="17" spans="1:4" ht="12.75">
      <c r="A17" s="47" t="s">
        <v>110</v>
      </c>
      <c r="B17" s="48">
        <v>1441700</v>
      </c>
      <c r="C17" s="48">
        <v>1487400</v>
      </c>
      <c r="D17" s="48">
        <v>1532000</v>
      </c>
    </row>
    <row r="18" spans="1:4" ht="12.75">
      <c r="A18" s="47" t="s">
        <v>111</v>
      </c>
      <c r="B18" s="48">
        <v>0</v>
      </c>
      <c r="C18" s="48">
        <v>0</v>
      </c>
      <c r="D18" s="48">
        <v>0</v>
      </c>
    </row>
    <row r="19" spans="1:4" ht="12.75">
      <c r="A19" s="47" t="s">
        <v>13</v>
      </c>
      <c r="B19" s="48">
        <f>'METAS ANUAIS PARA A RECEITA'!D17</f>
        <v>149500000</v>
      </c>
      <c r="C19" s="48">
        <f>'METAS ANUAIS PARA A RECEITA'!E17</f>
        <v>157500000</v>
      </c>
      <c r="D19" s="48">
        <f>'METAS ANUAIS PARA A RECEITA'!F17</f>
        <v>162220000</v>
      </c>
    </row>
    <row r="20" spans="1:4" ht="12.75">
      <c r="A20" s="47" t="s">
        <v>55</v>
      </c>
      <c r="B20" s="48">
        <v>63585030.07</v>
      </c>
      <c r="C20" s="48">
        <v>64895356.29</v>
      </c>
      <c r="D20" s="48">
        <v>66621842.98</v>
      </c>
    </row>
    <row r="21" spans="1:4" ht="12.75">
      <c r="A21" s="47" t="s">
        <v>15</v>
      </c>
      <c r="B21" s="48">
        <f>'METAS ANUAIS PARA A RECEITA'!D19</f>
        <v>12919200</v>
      </c>
      <c r="C21" s="48">
        <f>'METAS ANUAIS PARA A RECEITA'!E19</f>
        <v>13341002.5</v>
      </c>
      <c r="D21" s="48">
        <f>'METAS ANUAIS PARA A RECEITA'!F19</f>
        <v>12550632.6</v>
      </c>
    </row>
    <row r="22" spans="1:4" ht="12.75">
      <c r="A22" s="49" t="s">
        <v>56</v>
      </c>
      <c r="B22" s="46">
        <f>SUM(B23+B28+B29+B25+B26+B30+B27)</f>
        <v>153363840</v>
      </c>
      <c r="C22" s="46">
        <f>SUM(C23+C28+C29+C25+C26+C30+C27)</f>
        <v>156199080</v>
      </c>
      <c r="D22" s="46">
        <f>SUM(D23+D28+D29+D25+D26+D30+D27)</f>
        <v>160881200</v>
      </c>
    </row>
    <row r="23" spans="1:4" ht="13.5" customHeight="1">
      <c r="A23" s="50" t="s">
        <v>57</v>
      </c>
      <c r="B23" s="51">
        <f>SUM(B24:B24)</f>
        <v>49524000</v>
      </c>
      <c r="C23" s="51">
        <f>SUM(C24:C24)</f>
        <v>51082000</v>
      </c>
      <c r="D23" s="51">
        <f>SUM(D24:D24)</f>
        <v>52613000</v>
      </c>
    </row>
    <row r="24" spans="1:4" ht="12.75">
      <c r="A24" s="47" t="s">
        <v>58</v>
      </c>
      <c r="B24" s="52">
        <v>49524000</v>
      </c>
      <c r="C24" s="52">
        <v>51082000</v>
      </c>
      <c r="D24" s="52">
        <v>52613000</v>
      </c>
    </row>
    <row r="25" spans="1:4" ht="12.75">
      <c r="A25" s="53" t="s">
        <v>59</v>
      </c>
      <c r="B25" s="54">
        <v>112000</v>
      </c>
      <c r="C25" s="54">
        <v>116000</v>
      </c>
      <c r="D25" s="54">
        <v>119000</v>
      </c>
    </row>
    <row r="26" spans="1:4" ht="12.75">
      <c r="A26" s="47" t="s">
        <v>106</v>
      </c>
      <c r="B26" s="54">
        <v>23339000</v>
      </c>
      <c r="C26" s="54">
        <v>24074000</v>
      </c>
      <c r="D26" s="54">
        <v>24796000</v>
      </c>
    </row>
    <row r="27" spans="1:4" ht="12.75">
      <c r="A27" s="47" t="s">
        <v>118</v>
      </c>
      <c r="B27" s="54">
        <v>1440000</v>
      </c>
      <c r="C27" s="54">
        <v>1485000</v>
      </c>
      <c r="D27" s="54">
        <v>1530000</v>
      </c>
    </row>
    <row r="28" spans="1:4" ht="12.75">
      <c r="A28" s="50" t="s">
        <v>60</v>
      </c>
      <c r="B28" s="52">
        <v>6859000</v>
      </c>
      <c r="C28" s="52">
        <v>7075000</v>
      </c>
      <c r="D28" s="52">
        <v>7287000</v>
      </c>
    </row>
    <row r="29" spans="1:4" ht="12.75">
      <c r="A29" s="47" t="s">
        <v>61</v>
      </c>
      <c r="B29" s="52">
        <f>'EVOLUÇÃO DA RECEITA'!F20</f>
        <v>61827940</v>
      </c>
      <c r="C29" s="52">
        <f>'EVOLUÇÃO DA RECEITA'!G20</f>
        <v>63774080</v>
      </c>
      <c r="D29" s="52">
        <f>'EVOLUÇÃO DA RECEITA'!H20</f>
        <v>65687000</v>
      </c>
    </row>
    <row r="30" spans="1:4" ht="12.75">
      <c r="A30" s="47" t="s">
        <v>117</v>
      </c>
      <c r="B30" s="52">
        <v>10261900</v>
      </c>
      <c r="C30" s="52">
        <v>8593000</v>
      </c>
      <c r="D30" s="52">
        <v>8849200</v>
      </c>
    </row>
    <row r="31" spans="1:4" ht="12.75">
      <c r="A31" s="55" t="s">
        <v>62</v>
      </c>
      <c r="B31" s="56">
        <f>SUM(B3-B22)</f>
        <v>767109678.24</v>
      </c>
      <c r="C31" s="56">
        <f>SUM(C3-C22)</f>
        <v>801237650</v>
      </c>
      <c r="D31" s="56">
        <f>SUM(D3-D22)</f>
        <v>816369650.0000001</v>
      </c>
    </row>
    <row r="32" spans="1:4" s="104" customFormat="1" ht="24" customHeight="1">
      <c r="A32" s="102" t="s">
        <v>228</v>
      </c>
      <c r="B32" s="103">
        <v>0</v>
      </c>
      <c r="C32" s="103">
        <v>0</v>
      </c>
      <c r="D32" s="103">
        <v>0</v>
      </c>
    </row>
    <row r="33" spans="1:4" ht="26.25" customHeight="1">
      <c r="A33" s="55" t="s">
        <v>229</v>
      </c>
      <c r="B33" s="56">
        <f>B31-B32</f>
        <v>767109678.24</v>
      </c>
      <c r="C33" s="56">
        <f>C31-C32</f>
        <v>801237650</v>
      </c>
      <c r="D33" s="56">
        <f>D31-D32</f>
        <v>816369650.0000001</v>
      </c>
    </row>
    <row r="34" spans="1:4" s="104" customFormat="1" ht="25.5" customHeight="1">
      <c r="A34" s="102" t="s">
        <v>230</v>
      </c>
      <c r="B34" s="103">
        <v>0</v>
      </c>
      <c r="C34" s="103">
        <v>0</v>
      </c>
      <c r="D34" s="103">
        <v>0</v>
      </c>
    </row>
    <row r="35" spans="1:4" ht="23.25" customHeight="1">
      <c r="A35" s="55" t="s">
        <v>231</v>
      </c>
      <c r="B35" s="56">
        <f>B31-B34</f>
        <v>767109678.24</v>
      </c>
      <c r="C35" s="56">
        <f>C31-C34</f>
        <v>801237650</v>
      </c>
      <c r="D35" s="56">
        <f>D31-D34</f>
        <v>816369650.0000001</v>
      </c>
    </row>
    <row r="36" spans="1:3" ht="12.75">
      <c r="A36" s="116" t="s">
        <v>112</v>
      </c>
      <c r="B36" s="116"/>
      <c r="C36" s="67"/>
    </row>
    <row r="37" spans="2:4" ht="12.75">
      <c r="B37" s="16"/>
      <c r="C37" s="16"/>
      <c r="D37" s="16"/>
    </row>
    <row r="38" spans="2:4" ht="12.75">
      <c r="B38" s="17"/>
      <c r="C38" s="17"/>
      <c r="D38" s="17"/>
    </row>
  </sheetData>
  <sheetProtection/>
  <mergeCells count="5">
    <mergeCell ref="A36:B36"/>
    <mergeCell ref="A1:A2"/>
    <mergeCell ref="B1:B2"/>
    <mergeCell ref="C1:C2"/>
    <mergeCell ref="D1:D2"/>
  </mergeCells>
  <printOptions horizontalCentered="1"/>
  <pageMargins left="0.5118110236220472" right="0.3937007874015748" top="2.0078740157480315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&amp;CMEMÓRIA E METODOLOGIA I 
Prefeitura Municipal de Santa Maria 
Lei de Diretrizes Orçamentárias 
Memória e Metodologia de Cálculo 
METAS ANUAIS PARA A RECEITA
DEMONSTRATIVO DO CÁLCULO DA RECEITA CORRENTE LÍQUIDA 
2023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G15" sqref="G15"/>
    </sheetView>
  </sheetViews>
  <sheetFormatPr defaultColWidth="11.140625" defaultRowHeight="12.75"/>
  <cols>
    <col min="1" max="1" width="43.421875" style="1" customWidth="1"/>
    <col min="2" max="4" width="24.00390625" style="1" customWidth="1"/>
    <col min="5" max="16384" width="11.140625" style="1" customWidth="1"/>
  </cols>
  <sheetData>
    <row r="1" spans="1:4" ht="30.75" customHeight="1">
      <c r="A1" s="57" t="s">
        <v>63</v>
      </c>
      <c r="B1" s="28">
        <v>2023</v>
      </c>
      <c r="C1" s="28">
        <v>2024</v>
      </c>
      <c r="D1" s="28">
        <v>2025</v>
      </c>
    </row>
    <row r="2" spans="1:4" ht="12.75">
      <c r="A2" s="58" t="s">
        <v>113</v>
      </c>
      <c r="B2" s="61">
        <f>B3+B4+B5</f>
        <v>910582744</v>
      </c>
      <c r="C2" s="61">
        <f>C3+C4+C5</f>
        <v>941213630.256</v>
      </c>
      <c r="D2" s="64">
        <f>D3+D4+D5</f>
        <v>970016254.6036801</v>
      </c>
    </row>
    <row r="3" spans="1:4" ht="12.75">
      <c r="A3" s="59" t="s">
        <v>64</v>
      </c>
      <c r="B3" s="62">
        <f>'VARIAÇÃO DA DESPESA'!B8</f>
        <v>628572365</v>
      </c>
      <c r="C3" s="62">
        <f>'VARIAÇÃO DA DESPESA'!B9</f>
        <v>648372394.4975001</v>
      </c>
      <c r="D3" s="64">
        <f>'VARIAÇÃO DA DESPESA'!B10</f>
        <v>667823566.3324251</v>
      </c>
    </row>
    <row r="4" spans="1:4" ht="12.75">
      <c r="A4" s="59" t="s">
        <v>65</v>
      </c>
      <c r="B4" s="62">
        <f>'VARIAÇÃO DA DESPESA'!B25</f>
        <v>5953720</v>
      </c>
      <c r="C4" s="62">
        <f>'VARIAÇÃO DA DESPESA'!B26</f>
        <v>8088792</v>
      </c>
      <c r="D4" s="64">
        <f>'VARIAÇÃO DA DESPESA'!B27</f>
        <v>8897671.2</v>
      </c>
    </row>
    <row r="5" spans="1:4" ht="12.75">
      <c r="A5" s="59" t="s">
        <v>66</v>
      </c>
      <c r="B5" s="62">
        <f>'VARIAÇÃO DA DESPESA'!B42</f>
        <v>276056659</v>
      </c>
      <c r="C5" s="62">
        <f>'VARIAÇÃO DA DESPESA'!B43</f>
        <v>284752443.75850004</v>
      </c>
      <c r="D5" s="64">
        <f>'VARIAÇÃO DA DESPESA'!B44</f>
        <v>293295017.071255</v>
      </c>
    </row>
    <row r="6" spans="1:4" ht="12.75">
      <c r="A6" s="59" t="s">
        <v>67</v>
      </c>
      <c r="B6" s="62">
        <f>B7+B8+B9</f>
        <v>133646256</v>
      </c>
      <c r="C6" s="62">
        <f>C7+C8+C9</f>
        <v>96761369.7439999</v>
      </c>
      <c r="D6" s="64">
        <f>D7+D8+D9</f>
        <v>82288745.39631987</v>
      </c>
    </row>
    <row r="7" spans="1:4" ht="12.75">
      <c r="A7" s="59" t="s">
        <v>68</v>
      </c>
      <c r="B7" s="62">
        <f>'VARIAÇÃO DA DESPESA'!B59</f>
        <v>103972860</v>
      </c>
      <c r="C7" s="62">
        <f>'VARIAÇÃO DA DESPESA'!B60</f>
        <v>57553934.143999904</v>
      </c>
      <c r="D7" s="64">
        <f>'VARIAÇÃO DA DESPESA'!B61</f>
        <v>40107921.23631987</v>
      </c>
    </row>
    <row r="8" spans="1:4" ht="12.75">
      <c r="A8" s="59" t="s">
        <v>69</v>
      </c>
      <c r="B8" s="62">
        <f>'VARIAÇÃO DA DESPESA'!B76</f>
        <v>32500</v>
      </c>
      <c r="C8" s="62">
        <f>'VARIAÇÃO DA DESPESA'!B77</f>
        <v>33550</v>
      </c>
      <c r="D8" s="64">
        <f>'VARIAÇÃO DA DESPESA'!B78</f>
        <v>33550</v>
      </c>
    </row>
    <row r="9" spans="1:4" ht="12.75">
      <c r="A9" s="59" t="s">
        <v>70</v>
      </c>
      <c r="B9" s="62">
        <f>'VARIAÇÃO DA DESPESA'!B93</f>
        <v>29640896</v>
      </c>
      <c r="C9" s="62">
        <f>'VARIAÇÃO DA DESPESA'!B94</f>
        <v>39173885.6</v>
      </c>
      <c r="D9" s="64">
        <f>'VARIAÇÃO DA DESPESA'!B95</f>
        <v>42147274.16</v>
      </c>
    </row>
    <row r="10" spans="1:4" ht="12.75">
      <c r="A10" s="60" t="s">
        <v>71</v>
      </c>
      <c r="B10" s="63">
        <f>'VARIAÇÃO DA DESPESA'!B110</f>
        <v>28321000</v>
      </c>
      <c r="C10" s="63">
        <f>'VARIAÇÃO DA DESPESA'!B111</f>
        <v>29250000</v>
      </c>
      <c r="D10" s="64">
        <f>'VARIAÇÃO DA DESPESA'!B112</f>
        <v>30095000</v>
      </c>
    </row>
    <row r="11" spans="1:4" s="2" customFormat="1" ht="12.75">
      <c r="A11" s="29" t="s">
        <v>72</v>
      </c>
      <c r="B11" s="30">
        <f>SUM(B2+B6+B10)</f>
        <v>1072550000</v>
      </c>
      <c r="C11" s="30">
        <f>C2+C6+C10</f>
        <v>1067225000</v>
      </c>
      <c r="D11" s="30">
        <f>D2+D6+D10</f>
        <v>1082400000</v>
      </c>
    </row>
    <row r="12" spans="1:4" ht="12.75">
      <c r="A12" s="116" t="s">
        <v>112</v>
      </c>
      <c r="B12" s="116"/>
      <c r="C12" s="116"/>
      <c r="D12" s="116"/>
    </row>
    <row r="14" ht="12.75">
      <c r="A14" s="5" t="s">
        <v>21</v>
      </c>
    </row>
    <row r="15" spans="1:4" ht="12.75">
      <c r="A15" s="105" t="s">
        <v>73</v>
      </c>
      <c r="B15" s="105"/>
      <c r="C15" s="105"/>
      <c r="D15" s="105"/>
    </row>
  </sheetData>
  <sheetProtection/>
  <mergeCells count="2">
    <mergeCell ref="A15:D15"/>
    <mergeCell ref="A12:D12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&amp;CMEMÓRIA E METODOLOGIA II 
Prefeitura Municipal de Santa Maria   
Lei de Diretrizes Orçamentárias   
Memória e Metodologia de Cálculo   
METAS ANUAIS PARA A DESPESA   
2023 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6"/>
  <sheetViews>
    <sheetView workbookViewId="0" topLeftCell="A88">
      <selection activeCell="B111" sqref="B111"/>
    </sheetView>
  </sheetViews>
  <sheetFormatPr defaultColWidth="11.28125" defaultRowHeight="12.75"/>
  <cols>
    <col min="1" max="3" width="30.421875" style="1" customWidth="1"/>
    <col min="4" max="4" width="13.8515625" style="17" bestFit="1" customWidth="1"/>
    <col min="5" max="6" width="13.8515625" style="1" bestFit="1" customWidth="1"/>
    <col min="7" max="255" width="11.28125" style="1" customWidth="1"/>
  </cols>
  <sheetData>
    <row r="1" spans="1:3" ht="12.75">
      <c r="A1" s="117" t="s">
        <v>74</v>
      </c>
      <c r="B1" s="117"/>
      <c r="C1" s="117"/>
    </row>
    <row r="2" ht="8.25" customHeight="1"/>
    <row r="3" spans="1:3" ht="27" customHeight="1">
      <c r="A3" s="24" t="s">
        <v>40</v>
      </c>
      <c r="B3" s="24" t="s">
        <v>41</v>
      </c>
      <c r="C3" s="24" t="s">
        <v>42</v>
      </c>
    </row>
    <row r="4" spans="1:5" ht="12.75">
      <c r="A4" s="25">
        <v>2019</v>
      </c>
      <c r="B4" s="26">
        <v>493845274.13</v>
      </c>
      <c r="C4" s="27" t="s">
        <v>43</v>
      </c>
      <c r="E4" s="17"/>
    </row>
    <row r="5" spans="1:5" ht="12.75">
      <c r="A5" s="25">
        <v>2020</v>
      </c>
      <c r="B5" s="26">
        <v>531151767.91</v>
      </c>
      <c r="C5" s="27">
        <f aca="true" t="shared" si="0" ref="C5:C10">(B5-B4)/B4</f>
        <v>0.07554287898314373</v>
      </c>
      <c r="E5" s="17"/>
    </row>
    <row r="6" spans="1:5" ht="12.75">
      <c r="A6" s="25">
        <v>2021</v>
      </c>
      <c r="B6" s="26">
        <v>529792559.37</v>
      </c>
      <c r="C6" s="27">
        <f t="shared" si="0"/>
        <v>-0.00255898336806502</v>
      </c>
      <c r="E6" s="17"/>
    </row>
    <row r="7" spans="1:5" ht="12.75">
      <c r="A7" s="25">
        <v>2022</v>
      </c>
      <c r="B7" s="26">
        <v>606145000</v>
      </c>
      <c r="C7" s="27">
        <f t="shared" si="0"/>
        <v>0.14411761599822032</v>
      </c>
      <c r="E7" s="17"/>
    </row>
    <row r="8" spans="1:5" ht="12.75">
      <c r="A8" s="25">
        <v>2023</v>
      </c>
      <c r="B8" s="26">
        <f>B7*1.037</f>
        <v>628572365</v>
      </c>
      <c r="C8" s="27">
        <f>(B8-B7)/B7</f>
        <v>0.037</v>
      </c>
      <c r="E8" s="17"/>
    </row>
    <row r="9" spans="1:5" ht="12.75">
      <c r="A9" s="25">
        <v>2024</v>
      </c>
      <c r="B9" s="26">
        <f>B8*1.0315</f>
        <v>648372394.4975001</v>
      </c>
      <c r="C9" s="27">
        <f>(B9-B8)/B8</f>
        <v>0.0315000000000001</v>
      </c>
      <c r="E9" s="17"/>
    </row>
    <row r="10" spans="1:5" ht="12.75">
      <c r="A10" s="25">
        <v>2025</v>
      </c>
      <c r="B10" s="26">
        <f>B9*1.03</f>
        <v>667823566.3324251</v>
      </c>
      <c r="C10" s="27">
        <f t="shared" si="0"/>
        <v>0.030000000000000082</v>
      </c>
      <c r="E10" s="17"/>
    </row>
    <row r="11" spans="1:4" ht="12.75">
      <c r="A11" s="116" t="s">
        <v>112</v>
      </c>
      <c r="B11" s="116"/>
      <c r="C11" s="116"/>
      <c r="D11" s="67"/>
    </row>
    <row r="12" ht="7.5" customHeight="1">
      <c r="A12" s="5"/>
    </row>
    <row r="13" spans="1:256" s="5" customFormat="1" ht="12.75">
      <c r="A13" s="5" t="s">
        <v>21</v>
      </c>
      <c r="D13" s="18"/>
      <c r="IV13"/>
    </row>
    <row r="14" spans="1:256" s="20" customFormat="1" ht="12.75" customHeight="1">
      <c r="A14" s="122" t="s">
        <v>233</v>
      </c>
      <c r="B14" s="122"/>
      <c r="C14" s="122"/>
      <c r="D14" s="19"/>
      <c r="IV14"/>
    </row>
    <row r="15" spans="1:3" ht="12.75" customHeight="1">
      <c r="A15" s="121" t="s">
        <v>234</v>
      </c>
      <c r="B15" s="121"/>
      <c r="C15" s="121"/>
    </row>
    <row r="16" spans="1:3" ht="24.75" customHeight="1">
      <c r="A16" s="121" t="s">
        <v>248</v>
      </c>
      <c r="B16" s="121"/>
      <c r="C16" s="121"/>
    </row>
    <row r="17" spans="1:3" ht="10.5" customHeight="1">
      <c r="A17" s="21"/>
      <c r="B17" s="22"/>
      <c r="C17" s="22"/>
    </row>
    <row r="18" spans="1:3" ht="12.75">
      <c r="A18" s="117" t="s">
        <v>75</v>
      </c>
      <c r="B18" s="117"/>
      <c r="C18" s="117"/>
    </row>
    <row r="19" ht="9.75" customHeight="1"/>
    <row r="20" spans="1:3" ht="28.5" customHeight="1">
      <c r="A20" s="24" t="s">
        <v>40</v>
      </c>
      <c r="B20" s="24" t="s">
        <v>41</v>
      </c>
      <c r="C20" s="24" t="s">
        <v>42</v>
      </c>
    </row>
    <row r="21" spans="1:3" ht="12.75">
      <c r="A21" s="25">
        <v>2019</v>
      </c>
      <c r="B21" s="26">
        <v>3572130.74</v>
      </c>
      <c r="C21" s="27" t="s">
        <v>43</v>
      </c>
    </row>
    <row r="22" spans="1:3" ht="12.75">
      <c r="A22" s="25">
        <v>2020</v>
      </c>
      <c r="B22" s="26">
        <v>3880269.12</v>
      </c>
      <c r="C22" s="27">
        <f aca="true" t="shared" si="1" ref="C22:C27">(B22-B21)/B21</f>
        <v>0.0862617867116476</v>
      </c>
    </row>
    <row r="23" spans="1:3" ht="12.75">
      <c r="A23" s="25">
        <v>2021</v>
      </c>
      <c r="B23" s="26">
        <v>2543101.06</v>
      </c>
      <c r="C23" s="27">
        <f t="shared" si="1"/>
        <v>-0.3446070410703884</v>
      </c>
    </row>
    <row r="24" spans="1:3" ht="12.75">
      <c r="A24" s="25">
        <v>2022</v>
      </c>
      <c r="B24" s="26">
        <v>5100000</v>
      </c>
      <c r="C24" s="27">
        <f t="shared" si="1"/>
        <v>1.005425612146141</v>
      </c>
    </row>
    <row r="25" spans="1:4" s="1" customFormat="1" ht="12.75">
      <c r="A25" s="25">
        <v>2023</v>
      </c>
      <c r="B25" s="26">
        <v>5953720</v>
      </c>
      <c r="C25" s="27">
        <f t="shared" si="1"/>
        <v>0.16739607843137255</v>
      </c>
      <c r="D25" s="17"/>
    </row>
    <row r="26" spans="1:5" s="1" customFormat="1" ht="12.75">
      <c r="A26" s="25">
        <v>2024</v>
      </c>
      <c r="B26" s="26">
        <v>8088792</v>
      </c>
      <c r="C26" s="27">
        <f t="shared" si="1"/>
        <v>0.35861142277433267</v>
      </c>
      <c r="D26" s="17"/>
      <c r="E26" s="17"/>
    </row>
    <row r="27" spans="1:5" s="1" customFormat="1" ht="12.75">
      <c r="A27" s="25">
        <v>2025</v>
      </c>
      <c r="B27" s="26">
        <v>8897671.2</v>
      </c>
      <c r="C27" s="27">
        <f t="shared" si="1"/>
        <v>0.09999999999999991</v>
      </c>
      <c r="D27" s="17"/>
      <c r="E27" s="17"/>
    </row>
    <row r="28" spans="1:3" ht="12.75">
      <c r="A28" s="116" t="s">
        <v>112</v>
      </c>
      <c r="B28" s="116"/>
      <c r="C28" s="116"/>
    </row>
    <row r="29" ht="9" customHeight="1"/>
    <row r="30" spans="1:256" s="5" customFormat="1" ht="12.75">
      <c r="A30" s="5" t="s">
        <v>21</v>
      </c>
      <c r="D30" s="18"/>
      <c r="IV30"/>
    </row>
    <row r="31" spans="1:256" s="20" customFormat="1" ht="12.75" customHeight="1">
      <c r="A31" s="122" t="s">
        <v>233</v>
      </c>
      <c r="B31" s="122"/>
      <c r="C31" s="122"/>
      <c r="D31" s="19"/>
      <c r="IV31"/>
    </row>
    <row r="32" spans="1:3" ht="27" customHeight="1">
      <c r="A32" s="121" t="s">
        <v>236</v>
      </c>
      <c r="B32" s="121"/>
      <c r="C32" s="121"/>
    </row>
    <row r="33" spans="1:3" ht="15" customHeight="1">
      <c r="A33" s="121" t="s">
        <v>235</v>
      </c>
      <c r="B33" s="121"/>
      <c r="C33" s="121"/>
    </row>
    <row r="35" spans="1:3" ht="12.75">
      <c r="A35" s="117" t="s">
        <v>76</v>
      </c>
      <c r="B35" s="117"/>
      <c r="C35" s="117"/>
    </row>
    <row r="36" ht="10.5" customHeight="1"/>
    <row r="37" spans="1:3" ht="28.5" customHeight="1">
      <c r="A37" s="24" t="s">
        <v>40</v>
      </c>
      <c r="B37" s="24" t="s">
        <v>41</v>
      </c>
      <c r="C37" s="24" t="s">
        <v>42</v>
      </c>
    </row>
    <row r="38" spans="1:3" ht="12.75">
      <c r="A38" s="25">
        <v>2019</v>
      </c>
      <c r="B38" s="26">
        <v>188165987.29</v>
      </c>
      <c r="C38" s="27" t="s">
        <v>43</v>
      </c>
    </row>
    <row r="39" spans="1:3" ht="12.75">
      <c r="A39" s="25">
        <v>2020</v>
      </c>
      <c r="B39" s="26">
        <v>202600151.88</v>
      </c>
      <c r="C39" s="27">
        <f aca="true" t="shared" si="2" ref="C39:C44">(B39-B38)/B38</f>
        <v>0.07670974333822711</v>
      </c>
    </row>
    <row r="40" spans="1:3" ht="12.75">
      <c r="A40" s="25">
        <v>2021</v>
      </c>
      <c r="B40" s="26">
        <v>244577741.57</v>
      </c>
      <c r="C40" s="27">
        <f t="shared" si="2"/>
        <v>0.20719426565318327</v>
      </c>
    </row>
    <row r="41" spans="1:3" ht="12.75">
      <c r="A41" s="25">
        <v>2022</v>
      </c>
      <c r="B41" s="26">
        <v>266207000</v>
      </c>
      <c r="C41" s="27">
        <f t="shared" si="2"/>
        <v>0.08843510570977102</v>
      </c>
    </row>
    <row r="42" spans="1:3" ht="12.75">
      <c r="A42" s="25">
        <v>2023</v>
      </c>
      <c r="B42" s="26">
        <f>B41*1.037</f>
        <v>276056659</v>
      </c>
      <c r="C42" s="27">
        <f t="shared" si="2"/>
        <v>0.037</v>
      </c>
    </row>
    <row r="43" spans="1:3" ht="12.75">
      <c r="A43" s="25">
        <v>2024</v>
      </c>
      <c r="B43" s="26">
        <f>B42*1.0315</f>
        <v>284752443.75850004</v>
      </c>
      <c r="C43" s="27">
        <f t="shared" si="2"/>
        <v>0.031500000000000146</v>
      </c>
    </row>
    <row r="44" spans="1:3" ht="12.75">
      <c r="A44" s="25">
        <v>2025</v>
      </c>
      <c r="B44" s="26">
        <f>B43*1.03</f>
        <v>293295017.071255</v>
      </c>
      <c r="C44" s="27">
        <f t="shared" si="2"/>
        <v>0.029999999999999957</v>
      </c>
    </row>
    <row r="45" spans="1:3" ht="12.75">
      <c r="A45" s="116" t="s">
        <v>112</v>
      </c>
      <c r="B45" s="116"/>
      <c r="C45" s="116"/>
    </row>
    <row r="46" ht="9.75" customHeight="1"/>
    <row r="47" spans="1:256" s="5" customFormat="1" ht="12.75">
      <c r="A47" s="5" t="s">
        <v>21</v>
      </c>
      <c r="D47" s="18"/>
      <c r="IV47"/>
    </row>
    <row r="48" spans="1:256" s="20" customFormat="1" ht="12.75" customHeight="1">
      <c r="A48" s="122" t="s">
        <v>233</v>
      </c>
      <c r="B48" s="122"/>
      <c r="C48" s="122"/>
      <c r="D48" s="19"/>
      <c r="IV48"/>
    </row>
    <row r="49" spans="1:3" ht="12.75" customHeight="1">
      <c r="A49" s="121" t="s">
        <v>234</v>
      </c>
      <c r="B49" s="121"/>
      <c r="C49" s="121"/>
    </row>
    <row r="50" spans="1:3" ht="25.5" customHeight="1">
      <c r="A50" s="121" t="s">
        <v>248</v>
      </c>
      <c r="B50" s="121"/>
      <c r="C50" s="121"/>
    </row>
    <row r="51" ht="8.25" customHeight="1"/>
    <row r="52" spans="1:3" ht="12.75">
      <c r="A52" s="117" t="s">
        <v>77</v>
      </c>
      <c r="B52" s="117"/>
      <c r="C52" s="117"/>
    </row>
    <row r="54" spans="1:3" ht="27" customHeight="1">
      <c r="A54" s="24" t="s">
        <v>40</v>
      </c>
      <c r="B54" s="24" t="s">
        <v>41</v>
      </c>
      <c r="C54" s="24" t="s">
        <v>42</v>
      </c>
    </row>
    <row r="55" spans="1:3" ht="12.75">
      <c r="A55" s="25">
        <v>2019</v>
      </c>
      <c r="B55" s="26">
        <v>21685324.56</v>
      </c>
      <c r="C55" s="27" t="s">
        <v>43</v>
      </c>
    </row>
    <row r="56" spans="1:3" ht="12.75">
      <c r="A56" s="25">
        <v>2020</v>
      </c>
      <c r="B56" s="26">
        <v>35355696.14</v>
      </c>
      <c r="C56" s="27">
        <f aca="true" t="shared" si="3" ref="C56:C61">(B56-B55)/B55</f>
        <v>0.6303973704509775</v>
      </c>
    </row>
    <row r="57" spans="1:3" ht="12.75">
      <c r="A57" s="25">
        <v>2021</v>
      </c>
      <c r="B57" s="26">
        <v>43343021.13</v>
      </c>
      <c r="C57" s="27">
        <f t="shared" si="3"/>
        <v>0.22591338488633142</v>
      </c>
    </row>
    <row r="58" spans="1:3" ht="12.75">
      <c r="A58" s="25">
        <v>2022</v>
      </c>
      <c r="B58" s="26">
        <v>48278000</v>
      </c>
      <c r="C58" s="27">
        <f t="shared" si="3"/>
        <v>0.11385867300754993</v>
      </c>
    </row>
    <row r="59" spans="1:3" ht="12.75">
      <c r="A59" s="25">
        <v>2023</v>
      </c>
      <c r="B59" s="26">
        <f>1072550000-B8-B25-B42-B76-B93-B110</f>
        <v>103972860</v>
      </c>
      <c r="C59" s="27">
        <f t="shared" si="3"/>
        <v>1.15362815361034</v>
      </c>
    </row>
    <row r="60" spans="1:3" ht="12.75">
      <c r="A60" s="25">
        <v>2024</v>
      </c>
      <c r="B60" s="26">
        <f>1067225000-B9-B26-B43-B77-B94-B111</f>
        <v>57553934.143999904</v>
      </c>
      <c r="C60" s="27">
        <f t="shared" si="3"/>
        <v>-0.4464523324259821</v>
      </c>
    </row>
    <row r="61" spans="1:3" ht="12.75">
      <c r="A61" s="25">
        <v>2025</v>
      </c>
      <c r="B61" s="26">
        <f>1082400000-B10-B27-B44-B78-B95-B112</f>
        <v>40107921.23631987</v>
      </c>
      <c r="C61" s="27">
        <f t="shared" si="3"/>
        <v>-0.30312459377720596</v>
      </c>
    </row>
    <row r="62" spans="1:3" ht="12.75">
      <c r="A62" s="116" t="s">
        <v>112</v>
      </c>
      <c r="B62" s="116"/>
      <c r="C62" s="116"/>
    </row>
    <row r="64" ht="12.75">
      <c r="A64" s="5" t="s">
        <v>21</v>
      </c>
    </row>
    <row r="65" spans="1:256" s="20" customFormat="1" ht="12.75" customHeight="1">
      <c r="A65" s="122" t="s">
        <v>233</v>
      </c>
      <c r="B65" s="122"/>
      <c r="C65" s="122"/>
      <c r="D65" s="19"/>
      <c r="IV65"/>
    </row>
    <row r="66" spans="1:3" ht="12.75" customHeight="1">
      <c r="A66" s="121" t="s">
        <v>246</v>
      </c>
      <c r="B66" s="121"/>
      <c r="C66" s="121"/>
    </row>
    <row r="67" spans="1:3" ht="12.75" customHeight="1">
      <c r="A67" s="121" t="s">
        <v>247</v>
      </c>
      <c r="B67" s="121"/>
      <c r="C67" s="121"/>
    </row>
    <row r="68" spans="1:3" ht="12.75" customHeight="1">
      <c r="A68" s="21"/>
      <c r="B68" s="21"/>
      <c r="C68" s="21"/>
    </row>
    <row r="69" spans="1:3" ht="12.75">
      <c r="A69" s="117" t="s">
        <v>78</v>
      </c>
      <c r="B69" s="117"/>
      <c r="C69" s="117"/>
    </row>
    <row r="71" spans="1:3" ht="26.25" customHeight="1">
      <c r="A71" s="24" t="s">
        <v>40</v>
      </c>
      <c r="B71" s="24" t="s">
        <v>41</v>
      </c>
      <c r="C71" s="24" t="s">
        <v>42</v>
      </c>
    </row>
    <row r="72" spans="1:3" ht="12.75">
      <c r="A72" s="25">
        <v>2019</v>
      </c>
      <c r="B72" s="26">
        <v>33140</v>
      </c>
      <c r="C72" s="27" t="s">
        <v>43</v>
      </c>
    </row>
    <row r="73" spans="1:3" ht="12.75">
      <c r="A73" s="25">
        <v>2020</v>
      </c>
      <c r="B73" s="26">
        <v>10494</v>
      </c>
      <c r="C73" s="27">
        <f aca="true" t="shared" si="4" ref="C73:C78">(B73-B72)/B72</f>
        <v>-0.6833433916716959</v>
      </c>
    </row>
    <row r="74" spans="1:3" ht="12.75">
      <c r="A74" s="25">
        <v>2021</v>
      </c>
      <c r="B74" s="26">
        <v>0</v>
      </c>
      <c r="C74" s="27">
        <f t="shared" si="4"/>
        <v>-1</v>
      </c>
    </row>
    <row r="75" spans="1:3" ht="12.75">
      <c r="A75" s="25">
        <v>2022</v>
      </c>
      <c r="B75" s="26">
        <v>31400</v>
      </c>
      <c r="C75" s="27" t="s">
        <v>43</v>
      </c>
    </row>
    <row r="76" spans="1:3" ht="12.75">
      <c r="A76" s="25">
        <v>2023</v>
      </c>
      <c r="B76" s="26">
        <v>32500</v>
      </c>
      <c r="C76" s="27">
        <f t="shared" si="4"/>
        <v>0.03503184713375796</v>
      </c>
    </row>
    <row r="77" spans="1:3" ht="12.75" customHeight="1">
      <c r="A77" s="25">
        <v>2024</v>
      </c>
      <c r="B77" s="26">
        <v>33550</v>
      </c>
      <c r="C77" s="27">
        <f t="shared" si="4"/>
        <v>0.03230769230769231</v>
      </c>
    </row>
    <row r="78" spans="1:3" ht="12.75" customHeight="1">
      <c r="A78" s="25">
        <v>2025</v>
      </c>
      <c r="B78" s="26">
        <v>33550</v>
      </c>
      <c r="C78" s="27">
        <f t="shared" si="4"/>
        <v>0</v>
      </c>
    </row>
    <row r="79" spans="1:3" ht="12.75" customHeight="1">
      <c r="A79" s="116" t="s">
        <v>112</v>
      </c>
      <c r="B79" s="116"/>
      <c r="C79" s="116"/>
    </row>
    <row r="80" ht="10.5" customHeight="1"/>
    <row r="81" ht="12.75">
      <c r="A81" s="5" t="s">
        <v>21</v>
      </c>
    </row>
    <row r="82" spans="1:256" s="20" customFormat="1" ht="12.75" customHeight="1">
      <c r="A82" s="122" t="s">
        <v>233</v>
      </c>
      <c r="B82" s="122"/>
      <c r="C82" s="122"/>
      <c r="D82" s="19"/>
      <c r="IV82"/>
    </row>
    <row r="83" spans="1:3" ht="12.75" customHeight="1">
      <c r="A83" s="121" t="s">
        <v>244</v>
      </c>
      <c r="B83" s="121"/>
      <c r="C83" s="121"/>
    </row>
    <row r="84" spans="1:3" ht="12.75" customHeight="1">
      <c r="A84" s="121" t="s">
        <v>245</v>
      </c>
      <c r="B84" s="121"/>
      <c r="C84" s="121"/>
    </row>
    <row r="85" spans="1:3" ht="11.25" customHeight="1">
      <c r="A85" s="121"/>
      <c r="B85" s="121"/>
      <c r="C85" s="121"/>
    </row>
    <row r="86" spans="1:3" ht="12.75">
      <c r="A86" s="117" t="s">
        <v>79</v>
      </c>
      <c r="B86" s="117"/>
      <c r="C86" s="117"/>
    </row>
    <row r="87" ht="9" customHeight="1"/>
    <row r="88" spans="1:3" ht="27" customHeight="1">
      <c r="A88" s="24" t="s">
        <v>40</v>
      </c>
      <c r="B88" s="24" t="s">
        <v>41</v>
      </c>
      <c r="C88" s="24" t="s">
        <v>42</v>
      </c>
    </row>
    <row r="89" spans="1:3" ht="12.75">
      <c r="A89" s="25">
        <v>2019</v>
      </c>
      <c r="B89" s="26">
        <v>21545634.15</v>
      </c>
      <c r="C89" s="27" t="s">
        <v>43</v>
      </c>
    </row>
    <row r="90" spans="1:3" ht="12.75">
      <c r="A90" s="25">
        <v>2020</v>
      </c>
      <c r="B90" s="26">
        <v>26913099.16</v>
      </c>
      <c r="C90" s="27">
        <f aca="true" t="shared" si="5" ref="C90:C95">(B90-B89)/B89</f>
        <v>0.249120771875726</v>
      </c>
    </row>
    <row r="91" spans="1:3" ht="12.75">
      <c r="A91" s="25">
        <v>2021</v>
      </c>
      <c r="B91" s="26">
        <v>27644190.54</v>
      </c>
      <c r="C91" s="27">
        <f t="shared" si="5"/>
        <v>0.02716489006537733</v>
      </c>
    </row>
    <row r="92" spans="1:3" ht="12.75">
      <c r="A92" s="25">
        <v>2022</v>
      </c>
      <c r="B92" s="26">
        <v>27758000</v>
      </c>
      <c r="C92" s="27">
        <f t="shared" si="5"/>
        <v>0.004116939500736088</v>
      </c>
    </row>
    <row r="93" spans="1:4" s="1" customFormat="1" ht="12.75">
      <c r="A93" s="25">
        <v>2023</v>
      </c>
      <c r="B93" s="26">
        <v>29640896</v>
      </c>
      <c r="C93" s="27">
        <f t="shared" si="5"/>
        <v>0.06783255277757763</v>
      </c>
      <c r="D93" s="17"/>
    </row>
    <row r="94" spans="1:4" s="1" customFormat="1" ht="12.75">
      <c r="A94" s="25">
        <v>2024</v>
      </c>
      <c r="B94" s="26">
        <v>39173885.6</v>
      </c>
      <c r="C94" s="27">
        <f t="shared" si="5"/>
        <v>0.3216161076912115</v>
      </c>
      <c r="D94" s="17"/>
    </row>
    <row r="95" spans="1:4" s="1" customFormat="1" ht="12.75">
      <c r="A95" s="25">
        <v>2025</v>
      </c>
      <c r="B95" s="26">
        <v>42147274.16</v>
      </c>
      <c r="C95" s="27">
        <f t="shared" si="5"/>
        <v>0.07590231386186502</v>
      </c>
      <c r="D95" s="17"/>
    </row>
    <row r="96" spans="1:3" ht="12.75">
      <c r="A96" s="116" t="s">
        <v>112</v>
      </c>
      <c r="B96" s="116"/>
      <c r="C96" s="116"/>
    </row>
    <row r="97" ht="8.25" customHeight="1"/>
    <row r="98" ht="12.75">
      <c r="A98" s="5" t="s">
        <v>21</v>
      </c>
    </row>
    <row r="99" spans="1:256" s="20" customFormat="1" ht="12.75" customHeight="1">
      <c r="A99" s="122" t="s">
        <v>233</v>
      </c>
      <c r="B99" s="122"/>
      <c r="C99" s="122"/>
      <c r="D99" s="19"/>
      <c r="IV99"/>
    </row>
    <row r="100" spans="1:3" ht="12.75" customHeight="1">
      <c r="A100" s="121" t="s">
        <v>243</v>
      </c>
      <c r="B100" s="121"/>
      <c r="C100" s="121"/>
    </row>
    <row r="101" spans="1:3" ht="12.75" customHeight="1">
      <c r="A101" s="121" t="s">
        <v>235</v>
      </c>
      <c r="B101" s="121"/>
      <c r="C101" s="121"/>
    </row>
    <row r="102" ht="12" customHeight="1"/>
    <row r="103" spans="1:3" ht="17.25" customHeight="1">
      <c r="A103" s="117" t="s">
        <v>80</v>
      </c>
      <c r="B103" s="117"/>
      <c r="C103" s="117"/>
    </row>
    <row r="105" spans="1:3" ht="12.75">
      <c r="A105" s="24" t="s">
        <v>40</v>
      </c>
      <c r="B105" s="24" t="s">
        <v>41</v>
      </c>
      <c r="C105" s="24" t="s">
        <v>42</v>
      </c>
    </row>
    <row r="106" spans="1:3" ht="12.75">
      <c r="A106" s="25">
        <v>2019</v>
      </c>
      <c r="B106" s="26">
        <v>22504500</v>
      </c>
      <c r="C106" s="27" t="s">
        <v>43</v>
      </c>
    </row>
    <row r="107" spans="1:3" ht="12.75">
      <c r="A107" s="25">
        <v>2020</v>
      </c>
      <c r="B107" s="26">
        <v>6755680</v>
      </c>
      <c r="C107" s="27">
        <f aca="true" t="shared" si="6" ref="C107:C112">(B107-B106)/B106</f>
        <v>-0.6998075940367482</v>
      </c>
    </row>
    <row r="108" spans="1:3" ht="12.75">
      <c r="A108" s="25">
        <v>2021</v>
      </c>
      <c r="B108" s="26">
        <v>15814430.78</v>
      </c>
      <c r="C108" s="27">
        <f t="shared" si="6"/>
        <v>1.3409088026667928</v>
      </c>
    </row>
    <row r="109" spans="1:3" ht="12.75">
      <c r="A109" s="25">
        <v>2022</v>
      </c>
      <c r="B109" s="26">
        <f>3300000+50000+23629000</f>
        <v>26979000</v>
      </c>
      <c r="C109" s="27">
        <f t="shared" si="6"/>
        <v>0.7059735108594279</v>
      </c>
    </row>
    <row r="110" spans="1:3" ht="12.75">
      <c r="A110" s="25">
        <v>2023</v>
      </c>
      <c r="B110" s="26">
        <f>3850000+50000+24421000</f>
        <v>28321000</v>
      </c>
      <c r="C110" s="27">
        <f t="shared" si="6"/>
        <v>0.04974239223099448</v>
      </c>
    </row>
    <row r="111" spans="1:3" ht="12.75">
      <c r="A111" s="25">
        <v>2024</v>
      </c>
      <c r="B111" s="26">
        <f>25190000+50000+4010000</f>
        <v>29250000</v>
      </c>
      <c r="C111" s="27">
        <f t="shared" si="6"/>
        <v>0.03280251403552135</v>
      </c>
    </row>
    <row r="112" spans="1:3" ht="12.75">
      <c r="A112" s="25">
        <v>2025</v>
      </c>
      <c r="B112" s="26">
        <f>25945000+50000+4100000</f>
        <v>30095000</v>
      </c>
      <c r="C112" s="27">
        <f t="shared" si="6"/>
        <v>0.028888888888888888</v>
      </c>
    </row>
    <row r="113" spans="1:3" ht="12.75">
      <c r="A113" s="116" t="s">
        <v>112</v>
      </c>
      <c r="B113" s="116"/>
      <c r="C113" s="116"/>
    </row>
    <row r="115" ht="12.75">
      <c r="A115" s="5" t="s">
        <v>21</v>
      </c>
    </row>
    <row r="116" spans="1:3" ht="27.75" customHeight="1">
      <c r="A116" s="121" t="s">
        <v>237</v>
      </c>
      <c r="B116" s="121"/>
      <c r="C116" s="121"/>
    </row>
    <row r="117" spans="1:3" ht="27.75" customHeight="1">
      <c r="A117" s="121" t="s">
        <v>238</v>
      </c>
      <c r="B117" s="121"/>
      <c r="C117" s="121"/>
    </row>
    <row r="118" spans="1:3" ht="27.75" customHeight="1">
      <c r="A118" s="121" t="s">
        <v>239</v>
      </c>
      <c r="B118" s="121"/>
      <c r="C118" s="121"/>
    </row>
    <row r="119" spans="1:3" ht="26.25" customHeight="1">
      <c r="A119" s="121" t="s">
        <v>240</v>
      </c>
      <c r="B119" s="121"/>
      <c r="C119" s="121"/>
    </row>
    <row r="120" spans="1:3" ht="20.25" customHeight="1">
      <c r="A120" s="123" t="s">
        <v>241</v>
      </c>
      <c r="B120" s="123"/>
      <c r="C120" s="123"/>
    </row>
    <row r="121" spans="1:3" ht="37.5" customHeight="1">
      <c r="A121" s="121" t="s">
        <v>242</v>
      </c>
      <c r="B121" s="121"/>
      <c r="C121" s="121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</sheetData>
  <sheetProtection/>
  <mergeCells count="39">
    <mergeCell ref="A1:C1"/>
    <mergeCell ref="A14:C14"/>
    <mergeCell ref="A15:C15"/>
    <mergeCell ref="A16:C16"/>
    <mergeCell ref="A18:C18"/>
    <mergeCell ref="A49:C49"/>
    <mergeCell ref="A45:C45"/>
    <mergeCell ref="A11:C11"/>
    <mergeCell ref="A31:C31"/>
    <mergeCell ref="A32:C32"/>
    <mergeCell ref="A28:C28"/>
    <mergeCell ref="A35:C35"/>
    <mergeCell ref="A48:C48"/>
    <mergeCell ref="A79:C79"/>
    <mergeCell ref="A96:C96"/>
    <mergeCell ref="A85:C85"/>
    <mergeCell ref="A86:C86"/>
    <mergeCell ref="A50:C50"/>
    <mergeCell ref="A52:C52"/>
    <mergeCell ref="A121:C121"/>
    <mergeCell ref="A103:C103"/>
    <mergeCell ref="A116:C116"/>
    <mergeCell ref="A119:C119"/>
    <mergeCell ref="A117:C117"/>
    <mergeCell ref="A84:C84"/>
    <mergeCell ref="A118:C118"/>
    <mergeCell ref="A113:C113"/>
    <mergeCell ref="A120:C120"/>
    <mergeCell ref="A101:C101"/>
    <mergeCell ref="A100:C100"/>
    <mergeCell ref="A99:C99"/>
    <mergeCell ref="A33:C33"/>
    <mergeCell ref="A65:C65"/>
    <mergeCell ref="A67:C67"/>
    <mergeCell ref="A62:C62"/>
    <mergeCell ref="A69:C69"/>
    <mergeCell ref="A83:C83"/>
    <mergeCell ref="A82:C82"/>
    <mergeCell ref="A66:C66"/>
  </mergeCells>
  <printOptions horizontalCentered="1"/>
  <pageMargins left="0.3937007874015748" right="0.3937007874015748" top="1.68" bottom="0.54" header="0.43" footer="0.26"/>
  <pageSetup firstPageNumber="1" useFirstPageNumber="1" horizontalDpi="600" verticalDpi="600" orientation="portrait" paperSize="9" r:id="rId1"/>
  <headerFooter alignWithMargins="0">
    <oddHeader>&amp;CMEMÓRIA E METODOLOGIA II 
Prefeitura Municipal de Santa Maria  
Lei de Diretrizes Orçamentárias  
Memória e Metodologia de Cálculo  
METAS ANUAIS PARA A DESPESA - DEMONSTRATIVO DA VARIAÇÃO DA DESPESA  
2023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94"/>
  <sheetViews>
    <sheetView zoomScale="120" zoomScaleNormal="120" zoomScaleSheetLayoutView="100" workbookViewId="0" topLeftCell="A49">
      <selection activeCell="H57" sqref="H57"/>
    </sheetView>
  </sheetViews>
  <sheetFormatPr defaultColWidth="11.140625" defaultRowHeight="12.75"/>
  <cols>
    <col min="1" max="1" width="47.28125" style="1" customWidth="1"/>
    <col min="2" max="2" width="13.00390625" style="1" customWidth="1"/>
    <col min="3" max="3" width="12.8515625" style="1" customWidth="1"/>
    <col min="4" max="5" width="12.57421875" style="1" customWidth="1"/>
    <col min="6" max="6" width="12.28125" style="1" customWidth="1"/>
    <col min="7" max="7" width="13.7109375" style="1" customWidth="1"/>
    <col min="8" max="8" width="12.57421875" style="1" customWidth="1"/>
    <col min="9" max="9" width="16.140625" style="1" customWidth="1"/>
    <col min="10" max="10" width="14.140625" style="1" customWidth="1"/>
    <col min="11" max="11" width="16.00390625" style="1" customWidth="1"/>
    <col min="12" max="12" width="11.140625" style="1" customWidth="1"/>
    <col min="13" max="13" width="13.140625" style="1" customWidth="1"/>
    <col min="14" max="14" width="11.7109375" style="1" customWidth="1"/>
    <col min="15" max="15" width="13.140625" style="1" customWidth="1"/>
    <col min="16" max="255" width="11.140625" style="1" customWidth="1"/>
  </cols>
  <sheetData>
    <row r="1" spans="1:256" s="2" customFormat="1" ht="12.75">
      <c r="A1" s="124" t="s">
        <v>141</v>
      </c>
      <c r="B1" s="124"/>
      <c r="C1" s="124"/>
      <c r="D1" s="124"/>
      <c r="E1" s="124"/>
      <c r="F1" s="124"/>
      <c r="G1" s="124"/>
      <c r="H1" s="124"/>
      <c r="IV1"/>
    </row>
    <row r="2" spans="1:256" s="2" customFormat="1" ht="12.75">
      <c r="A2" s="81" t="s">
        <v>142</v>
      </c>
      <c r="B2" s="82" t="s">
        <v>223</v>
      </c>
      <c r="C2" s="82" t="s">
        <v>224</v>
      </c>
      <c r="D2" s="82" t="s">
        <v>225</v>
      </c>
      <c r="E2" s="82" t="s">
        <v>143</v>
      </c>
      <c r="F2" s="82" t="s">
        <v>144</v>
      </c>
      <c r="G2" s="82" t="s">
        <v>145</v>
      </c>
      <c r="H2" s="82" t="s">
        <v>251</v>
      </c>
      <c r="IV2"/>
    </row>
    <row r="3" spans="1:256" s="2" customFormat="1" ht="12.75">
      <c r="A3" s="83" t="s">
        <v>1</v>
      </c>
      <c r="B3" s="84">
        <f aca="true" t="shared" si="0" ref="B3:H3">+B4+B11++B10+B14+B21</f>
        <v>655698370.43</v>
      </c>
      <c r="C3" s="84">
        <f t="shared" si="0"/>
        <v>708144934.3599999</v>
      </c>
      <c r="D3" s="84">
        <f t="shared" si="0"/>
        <v>756547301.79</v>
      </c>
      <c r="E3" s="84">
        <f t="shared" si="0"/>
        <v>817039671.21</v>
      </c>
      <c r="F3" s="84">
        <f t="shared" si="0"/>
        <v>848383678.24</v>
      </c>
      <c r="G3" s="84">
        <f t="shared" si="0"/>
        <v>885069650</v>
      </c>
      <c r="H3" s="84">
        <f t="shared" si="0"/>
        <v>902714650.0000001</v>
      </c>
      <c r="IV3"/>
    </row>
    <row r="4" spans="1:8" ht="12.75">
      <c r="A4" s="83" t="s">
        <v>146</v>
      </c>
      <c r="B4" s="84">
        <f aca="true" t="shared" si="1" ref="B4:G4">+B5+B6+B7+B8+B9</f>
        <v>210976009.62</v>
      </c>
      <c r="C4" s="84">
        <f t="shared" si="1"/>
        <v>211765996.84</v>
      </c>
      <c r="D4" s="84">
        <f t="shared" si="1"/>
        <v>242120757.04000002</v>
      </c>
      <c r="E4" s="84">
        <f t="shared" si="1"/>
        <v>260566123.03</v>
      </c>
      <c r="F4" s="84">
        <f t="shared" si="1"/>
        <v>272190400</v>
      </c>
      <c r="G4" s="84">
        <f t="shared" si="1"/>
        <v>288080900</v>
      </c>
      <c r="H4" s="84">
        <f>+H5+H6+H7+H8+H9</f>
        <v>300711500</v>
      </c>
    </row>
    <row r="5" spans="1:256" s="2" customFormat="1" ht="13.5" customHeight="1">
      <c r="A5" s="83" t="s">
        <v>147</v>
      </c>
      <c r="B5" s="84">
        <v>50398143</v>
      </c>
      <c r="C5" s="84">
        <v>50880904.64</v>
      </c>
      <c r="D5" s="84">
        <v>57867884.82</v>
      </c>
      <c r="E5" s="84">
        <f>67075000-4282876.97</f>
        <v>62792123.03</v>
      </c>
      <c r="F5" s="84">
        <f>71207500-4842400</f>
        <v>66365100</v>
      </c>
      <c r="G5" s="84">
        <f>75205000-4987000</f>
        <v>70218000</v>
      </c>
      <c r="H5" s="84">
        <f>77462500-5136000</f>
        <v>72326500</v>
      </c>
      <c r="IV5"/>
    </row>
    <row r="6" spans="1:8" ht="12" customHeight="1">
      <c r="A6" s="83" t="s">
        <v>148</v>
      </c>
      <c r="B6" s="84">
        <v>76881467.84</v>
      </c>
      <c r="C6" s="84">
        <v>74361377.75</v>
      </c>
      <c r="D6" s="84">
        <v>84560457.29</v>
      </c>
      <c r="E6" s="84">
        <f>91187600-2392300</f>
        <v>88795300</v>
      </c>
      <c r="F6" s="84">
        <f>97216000-4401400</f>
        <v>92814600</v>
      </c>
      <c r="G6" s="84">
        <f>103613500-2557900</f>
        <v>101055600</v>
      </c>
      <c r="H6" s="84">
        <f>110431500-2634200</f>
        <v>107797300</v>
      </c>
    </row>
    <row r="7" spans="1:8" ht="12.75">
      <c r="A7" s="83" t="s">
        <v>149</v>
      </c>
      <c r="B7" s="84">
        <v>20283653.38</v>
      </c>
      <c r="C7" s="84">
        <v>21005609.49</v>
      </c>
      <c r="D7" s="84">
        <v>33517378.66</v>
      </c>
      <c r="E7" s="84">
        <f>37800500-646700</f>
        <v>37153800</v>
      </c>
      <c r="F7" s="84">
        <f>39198800-671300</f>
        <v>38527500</v>
      </c>
      <c r="G7" s="84">
        <f>40646700-691200</f>
        <v>39955500</v>
      </c>
      <c r="H7" s="84">
        <f>42149500-711700</f>
        <v>41437800</v>
      </c>
    </row>
    <row r="8" spans="1:8" ht="12.75">
      <c r="A8" s="83" t="s">
        <v>150</v>
      </c>
      <c r="B8" s="84">
        <v>41117678.76</v>
      </c>
      <c r="C8" s="84">
        <v>44828780.68</v>
      </c>
      <c r="D8" s="84">
        <v>42685734.09</v>
      </c>
      <c r="E8" s="84">
        <v>46980000</v>
      </c>
      <c r="F8" s="84">
        <v>48721000</v>
      </c>
      <c r="G8" s="84">
        <v>50252700</v>
      </c>
      <c r="H8" s="84">
        <v>51752500</v>
      </c>
    </row>
    <row r="9" spans="1:8" ht="12.75">
      <c r="A9" s="83" t="s">
        <v>151</v>
      </c>
      <c r="B9" s="84">
        <v>22295066.64</v>
      </c>
      <c r="C9" s="84">
        <v>20689324.28</v>
      </c>
      <c r="D9" s="84">
        <v>23489302.18</v>
      </c>
      <c r="E9" s="84">
        <f>25179000-334100</f>
        <v>24844900</v>
      </c>
      <c r="F9" s="84">
        <f>26109000-346800</f>
        <v>25762200</v>
      </c>
      <c r="G9" s="84">
        <f>26956000-356900</f>
        <v>26599100</v>
      </c>
      <c r="H9" s="84">
        <f>27765000-367600</f>
        <v>27397400</v>
      </c>
    </row>
    <row r="10" spans="1:8" ht="12.75">
      <c r="A10" s="83" t="s">
        <v>152</v>
      </c>
      <c r="B10" s="84">
        <v>44807451.78</v>
      </c>
      <c r="C10" s="84">
        <v>47766376.24</v>
      </c>
      <c r="D10" s="84">
        <v>53040472.33</v>
      </c>
      <c r="E10" s="84">
        <v>59084000</v>
      </c>
      <c r="F10" s="84">
        <v>61234000</v>
      </c>
      <c r="G10" s="84">
        <v>63173000</v>
      </c>
      <c r="H10" s="84">
        <v>54049000</v>
      </c>
    </row>
    <row r="11" spans="1:8" ht="12.75">
      <c r="A11" s="83" t="s">
        <v>153</v>
      </c>
      <c r="B11" s="84">
        <f aca="true" t="shared" si="2" ref="B11:G11">+B12+B13</f>
        <v>43937154.029999994</v>
      </c>
      <c r="C11" s="84">
        <f t="shared" si="2"/>
        <v>36480070.029999994</v>
      </c>
      <c r="D11" s="84">
        <f t="shared" si="2"/>
        <v>14130720.219999999</v>
      </c>
      <c r="E11" s="84">
        <f t="shared" si="2"/>
        <v>33979290.64</v>
      </c>
      <c r="F11" s="84">
        <f t="shared" si="2"/>
        <v>35301288.17</v>
      </c>
      <c r="G11" s="84">
        <f t="shared" si="2"/>
        <v>36433071.21</v>
      </c>
      <c r="H11" s="84">
        <f>+H12+H13</f>
        <v>37066374.42</v>
      </c>
    </row>
    <row r="12" spans="1:8" ht="12.75">
      <c r="A12" s="83" t="s">
        <v>154</v>
      </c>
      <c r="B12" s="84">
        <v>41752892.05</v>
      </c>
      <c r="C12" s="84">
        <v>34516385.87</v>
      </c>
      <c r="D12" s="84">
        <v>12021550.62</v>
      </c>
      <c r="E12" s="84">
        <v>31734190.64</v>
      </c>
      <c r="F12" s="84">
        <v>32973488.17</v>
      </c>
      <c r="G12" s="84">
        <v>34029071.21</v>
      </c>
      <c r="H12" s="84">
        <v>34590374.42</v>
      </c>
    </row>
    <row r="13" spans="1:8" ht="12.75">
      <c r="A13" s="83" t="s">
        <v>155</v>
      </c>
      <c r="B13" s="84">
        <v>2184261.98</v>
      </c>
      <c r="C13" s="84">
        <v>1963684.16</v>
      </c>
      <c r="D13" s="84">
        <v>2109169.6</v>
      </c>
      <c r="E13" s="84">
        <v>2245100</v>
      </c>
      <c r="F13" s="84">
        <v>2327800</v>
      </c>
      <c r="G13" s="84">
        <v>2404000</v>
      </c>
      <c r="H13" s="84">
        <v>2476000</v>
      </c>
    </row>
    <row r="14" spans="1:8" ht="12.75">
      <c r="A14" s="83" t="s">
        <v>156</v>
      </c>
      <c r="B14" s="84">
        <f>+B15+B16+B17+B19+B20</f>
        <v>339844211.66999996</v>
      </c>
      <c r="C14" s="84">
        <f aca="true" t="shared" si="3" ref="C14:H14">SUM(C15:C20)</f>
        <v>397532609.94</v>
      </c>
      <c r="D14" s="84">
        <f t="shared" si="3"/>
        <v>435285318.8299999</v>
      </c>
      <c r="E14" s="84">
        <f t="shared" si="3"/>
        <v>452203857.54</v>
      </c>
      <c r="F14" s="84">
        <f t="shared" si="3"/>
        <v>466738790.07</v>
      </c>
      <c r="G14" s="84">
        <f t="shared" si="3"/>
        <v>484041676.29</v>
      </c>
      <c r="H14" s="84">
        <f t="shared" si="3"/>
        <v>498337142.98</v>
      </c>
    </row>
    <row r="15" spans="1:8" ht="12.75">
      <c r="A15" s="83" t="s">
        <v>157</v>
      </c>
      <c r="B15" s="84">
        <f>55003047.17+3034232.73+2922132</f>
        <v>60959411.9</v>
      </c>
      <c r="C15" s="84">
        <v>58248180.93</v>
      </c>
      <c r="D15" s="84">
        <v>77742365.21</v>
      </c>
      <c r="E15" s="84">
        <f>99378000+4110000+3630000-19875600</f>
        <v>87242400</v>
      </c>
      <c r="F15" s="84">
        <f>103054000+4262000+3764000-20610800</f>
        <v>90469200</v>
      </c>
      <c r="G15" s="84">
        <f>106293000+4400000+3887000-21258600</f>
        <v>93321400</v>
      </c>
      <c r="H15" s="84">
        <f>109481000+4532000+4004000-21896200</f>
        <v>96120800</v>
      </c>
    </row>
    <row r="16" spans="1:8" ht="12.75">
      <c r="A16" s="83" t="s">
        <v>158</v>
      </c>
      <c r="B16" s="84">
        <v>82503489.96</v>
      </c>
      <c r="C16" s="84">
        <v>83805037.62</v>
      </c>
      <c r="D16" s="84">
        <v>109480890.55</v>
      </c>
      <c r="E16" s="84">
        <f>136744000-27348000</f>
        <v>109396000</v>
      </c>
      <c r="F16" s="84">
        <f>141803000-28360600</f>
        <v>113442400</v>
      </c>
      <c r="G16" s="84">
        <f>146270000-29254000</f>
        <v>117016000</v>
      </c>
      <c r="H16" s="84">
        <f>150658000-30131600</f>
        <v>120526400</v>
      </c>
    </row>
    <row r="17" spans="1:8" ht="12.75">
      <c r="A17" s="83" t="s">
        <v>159</v>
      </c>
      <c r="B17" s="84">
        <v>34668790.72</v>
      </c>
      <c r="C17" s="84">
        <v>37341686.89</v>
      </c>
      <c r="D17" s="84">
        <v>42868768.48</v>
      </c>
      <c r="E17" s="84">
        <f>58975000-11795000</f>
        <v>47180000</v>
      </c>
      <c r="F17" s="84">
        <f>61157000-12231400</f>
        <v>48925600</v>
      </c>
      <c r="G17" s="84">
        <f>63083000-12616600</f>
        <v>50466400</v>
      </c>
      <c r="H17" s="84">
        <f>64975000-12995000</f>
        <v>51980000</v>
      </c>
    </row>
    <row r="18" spans="1:8" ht="12.75">
      <c r="A18" s="83" t="s">
        <v>160</v>
      </c>
      <c r="B18" s="84">
        <v>799700.97</v>
      </c>
      <c r="C18" s="84">
        <v>825776.16</v>
      </c>
      <c r="D18" s="84">
        <v>999609.48</v>
      </c>
      <c r="E18" s="84">
        <f>1390000-278000</f>
        <v>1112000</v>
      </c>
      <c r="F18" s="84">
        <f>1441700-288340</f>
        <v>1153360</v>
      </c>
      <c r="G18" s="84">
        <f>1487400-297480</f>
        <v>1189920</v>
      </c>
      <c r="H18" s="84">
        <f>1532000-306400</f>
        <v>1225600</v>
      </c>
    </row>
    <row r="19" spans="1:8" ht="12.75">
      <c r="A19" s="83" t="s">
        <v>161</v>
      </c>
      <c r="B19" s="84">
        <v>101441535.07</v>
      </c>
      <c r="C19" s="84">
        <v>104811887.86</v>
      </c>
      <c r="D19" s="84">
        <v>138188988.64</v>
      </c>
      <c r="E19" s="84">
        <v>147102000</v>
      </c>
      <c r="F19" s="84">
        <v>149500000</v>
      </c>
      <c r="G19" s="84">
        <v>157500000</v>
      </c>
      <c r="H19" s="84">
        <v>162220000</v>
      </c>
    </row>
    <row r="20" spans="1:8" ht="12.75">
      <c r="A20" s="83" t="s">
        <v>162</v>
      </c>
      <c r="B20" s="84">
        <v>60270984.02</v>
      </c>
      <c r="C20" s="84">
        <f>111306354.87+1193685.61</f>
        <v>112500040.48</v>
      </c>
      <c r="D20" s="84">
        <f>1180429.81+64824266.66</f>
        <v>66004696.47</v>
      </c>
      <c r="E20" s="84">
        <v>60171457.54</v>
      </c>
      <c r="F20" s="84">
        <f>62911430.07+336800</f>
        <v>63248230.07</v>
      </c>
      <c r="G20" s="84">
        <f>64895556.29-347600</f>
        <v>64547956.29</v>
      </c>
      <c r="H20" s="84">
        <f>66621842.98-357500</f>
        <v>66264342.98</v>
      </c>
    </row>
    <row r="21" spans="1:8" ht="12.75">
      <c r="A21" s="83" t="s">
        <v>163</v>
      </c>
      <c r="B21" s="84">
        <f aca="true" t="shared" si="4" ref="B21:G21">+B22+B23</f>
        <v>16133543.33</v>
      </c>
      <c r="C21" s="84">
        <f t="shared" si="4"/>
        <v>14599881.309999999</v>
      </c>
      <c r="D21" s="84">
        <f t="shared" si="4"/>
        <v>11970033.37</v>
      </c>
      <c r="E21" s="84">
        <f t="shared" si="4"/>
        <v>11206400</v>
      </c>
      <c r="F21" s="84">
        <f t="shared" si="4"/>
        <v>12919200</v>
      </c>
      <c r="G21" s="84">
        <f t="shared" si="4"/>
        <v>13341002.5</v>
      </c>
      <c r="H21" s="84">
        <f>+H22+H23</f>
        <v>12550632.6</v>
      </c>
    </row>
    <row r="22" spans="1:8" ht="12.75">
      <c r="A22" s="83" t="s">
        <v>164</v>
      </c>
      <c r="B22" s="84">
        <v>89362.24</v>
      </c>
      <c r="C22" s="84">
        <v>16944.28</v>
      </c>
      <c r="D22" s="84">
        <v>16097.28</v>
      </c>
      <c r="E22" s="84">
        <v>0</v>
      </c>
      <c r="F22" s="84"/>
      <c r="G22" s="84"/>
      <c r="H22" s="84"/>
    </row>
    <row r="23" spans="1:8" ht="12.75">
      <c r="A23" s="83" t="s">
        <v>165</v>
      </c>
      <c r="B23" s="84">
        <v>16044181.09</v>
      </c>
      <c r="C23" s="84">
        <v>14582937.03</v>
      </c>
      <c r="D23" s="84">
        <v>11953936.09</v>
      </c>
      <c r="E23" s="84">
        <f>11206400</f>
        <v>11206400</v>
      </c>
      <c r="F23" s="84">
        <v>12919200</v>
      </c>
      <c r="G23" s="84">
        <v>13341002.5</v>
      </c>
      <c r="H23" s="84">
        <v>12550632.6</v>
      </c>
    </row>
    <row r="24" spans="1:8" ht="12.75">
      <c r="A24" s="83" t="s">
        <v>166</v>
      </c>
      <c r="B24" s="84">
        <f aca="true" t="shared" si="5" ref="B24:H24">+B3-B12-B22</f>
        <v>613856116.14</v>
      </c>
      <c r="C24" s="84">
        <f t="shared" si="5"/>
        <v>673611604.2099999</v>
      </c>
      <c r="D24" s="84">
        <f t="shared" si="5"/>
        <v>744509653.89</v>
      </c>
      <c r="E24" s="84">
        <f t="shared" si="5"/>
        <v>785305480.57</v>
      </c>
      <c r="F24" s="84">
        <f t="shared" si="5"/>
        <v>815410190.07</v>
      </c>
      <c r="G24" s="84">
        <f t="shared" si="5"/>
        <v>851040578.79</v>
      </c>
      <c r="H24" s="84">
        <f t="shared" si="5"/>
        <v>868124275.5800002</v>
      </c>
    </row>
    <row r="25" spans="1:8" ht="12.75">
      <c r="A25" s="83" t="s">
        <v>167</v>
      </c>
      <c r="B25" s="84">
        <f aca="true" t="shared" si="6" ref="B25:G25">+B26+B27+B28+B32+B35</f>
        <v>30566115.12</v>
      </c>
      <c r="C25" s="84">
        <f t="shared" si="6"/>
        <v>37962044.71</v>
      </c>
      <c r="D25" s="84">
        <f t="shared" si="6"/>
        <v>17741530.86</v>
      </c>
      <c r="E25" s="84">
        <f t="shared" si="6"/>
        <v>52330136.28</v>
      </c>
      <c r="F25" s="84">
        <f t="shared" si="6"/>
        <v>80612321.75999999</v>
      </c>
      <c r="G25" s="84">
        <f t="shared" si="6"/>
        <v>24770350</v>
      </c>
      <c r="H25" s="84">
        <f>+H26+H27+H28+H32+H35</f>
        <v>12578350</v>
      </c>
    </row>
    <row r="26" spans="1:8" ht="12.75">
      <c r="A26" s="83" t="s">
        <v>168</v>
      </c>
      <c r="B26" s="84">
        <v>9582608.97</v>
      </c>
      <c r="C26" s="84">
        <v>10899881.83</v>
      </c>
      <c r="D26" s="84">
        <v>10262513.1</v>
      </c>
      <c r="E26" s="84">
        <v>15360000</v>
      </c>
      <c r="F26" s="84">
        <v>25000000</v>
      </c>
      <c r="G26" s="84">
        <v>12500000</v>
      </c>
      <c r="H26" s="84">
        <v>0</v>
      </c>
    </row>
    <row r="27" spans="1:8" ht="12.75">
      <c r="A27" s="83" t="s">
        <v>169</v>
      </c>
      <c r="B27" s="84">
        <v>31172.53</v>
      </c>
      <c r="C27" s="84">
        <v>45508.32</v>
      </c>
      <c r="D27" s="84">
        <v>58339.43</v>
      </c>
      <c r="E27" s="84">
        <v>31400</v>
      </c>
      <c r="F27" s="84">
        <v>32500</v>
      </c>
      <c r="G27" s="84">
        <v>33550</v>
      </c>
      <c r="H27" s="84">
        <v>33550</v>
      </c>
    </row>
    <row r="28" spans="1:8" ht="12.75">
      <c r="A28" s="83" t="s">
        <v>170</v>
      </c>
      <c r="B28" s="84">
        <f aca="true" t="shared" si="7" ref="B28:G28">+B29+B30+B31</f>
        <v>183174</v>
      </c>
      <c r="C28" s="84">
        <f t="shared" si="7"/>
        <v>1291173.82</v>
      </c>
      <c r="D28" s="84">
        <f t="shared" si="7"/>
        <v>701342.04</v>
      </c>
      <c r="E28" s="84">
        <f t="shared" si="7"/>
        <v>1768000</v>
      </c>
      <c r="F28" s="84">
        <f t="shared" si="7"/>
        <v>13891900</v>
      </c>
      <c r="G28" s="84">
        <f t="shared" si="7"/>
        <v>890800</v>
      </c>
      <c r="H28" s="84">
        <f>+H29+H30+H31</f>
        <v>858800</v>
      </c>
    </row>
    <row r="29" spans="1:8" ht="12.75">
      <c r="A29" s="83" t="s">
        <v>171</v>
      </c>
      <c r="B29" s="84"/>
      <c r="C29" s="84"/>
      <c r="D29" s="84"/>
      <c r="E29" s="84"/>
      <c r="F29" s="84"/>
      <c r="G29" s="84"/>
      <c r="H29" s="84"/>
    </row>
    <row r="30" spans="1:8" ht="12.75">
      <c r="A30" s="83" t="s">
        <v>172</v>
      </c>
      <c r="B30" s="84"/>
      <c r="C30" s="84"/>
      <c r="D30" s="84"/>
      <c r="E30" s="84"/>
      <c r="F30" s="84"/>
      <c r="G30" s="84"/>
      <c r="H30" s="84"/>
    </row>
    <row r="31" spans="1:8" ht="12.75">
      <c r="A31" s="83" t="s">
        <v>173</v>
      </c>
      <c r="B31" s="84">
        <v>183174</v>
      </c>
      <c r="C31" s="84">
        <v>1291173.82</v>
      </c>
      <c r="D31" s="84">
        <v>701342.04</v>
      </c>
      <c r="E31" s="84">
        <f>2768000-1000000</f>
        <v>1768000</v>
      </c>
      <c r="F31" s="84">
        <f>14930000-1038100</f>
        <v>13891900</v>
      </c>
      <c r="G31" s="84">
        <f>1960000-1069200</f>
        <v>890800</v>
      </c>
      <c r="H31" s="84">
        <f>1960000-1101200</f>
        <v>858800</v>
      </c>
    </row>
    <row r="32" spans="1:8" ht="12.75">
      <c r="A32" s="83" t="s">
        <v>174</v>
      </c>
      <c r="B32" s="84">
        <f aca="true" t="shared" si="8" ref="B32:G32">+B33+B34</f>
        <v>20769159.62</v>
      </c>
      <c r="C32" s="84">
        <f t="shared" si="8"/>
        <v>25725480.74</v>
      </c>
      <c r="D32" s="84">
        <f t="shared" si="8"/>
        <v>6719336.29</v>
      </c>
      <c r="E32" s="84">
        <f t="shared" si="8"/>
        <v>35170736.28</v>
      </c>
      <c r="F32" s="84">
        <f t="shared" si="8"/>
        <v>41687921.76</v>
      </c>
      <c r="G32" s="84">
        <f t="shared" si="8"/>
        <v>11346000</v>
      </c>
      <c r="H32" s="84">
        <f>+H33+H34</f>
        <v>11686000</v>
      </c>
    </row>
    <row r="33" spans="1:8" ht="12.75">
      <c r="A33" s="83" t="s">
        <v>175</v>
      </c>
      <c r="B33" s="84"/>
      <c r="C33" s="84"/>
      <c r="D33" s="84"/>
      <c r="E33" s="84"/>
      <c r="F33" s="84"/>
      <c r="G33" s="84"/>
      <c r="H33" s="84"/>
    </row>
    <row r="34" spans="1:8" ht="12.75">
      <c r="A34" s="83" t="s">
        <v>176</v>
      </c>
      <c r="B34" s="84">
        <v>20769159.62</v>
      </c>
      <c r="C34" s="84">
        <v>25725480.74</v>
      </c>
      <c r="D34" s="84">
        <v>6719336.29</v>
      </c>
      <c r="E34" s="84">
        <v>35170736.28</v>
      </c>
      <c r="F34" s="84">
        <v>41687921.76</v>
      </c>
      <c r="G34" s="84">
        <v>11346000</v>
      </c>
      <c r="H34" s="84">
        <v>11686000</v>
      </c>
    </row>
    <row r="35" spans="1:8" ht="12.75">
      <c r="A35" s="83" t="s">
        <v>177</v>
      </c>
      <c r="B35" s="84">
        <f aca="true" t="shared" si="9" ref="B35:G35">+B36+B37</f>
        <v>0</v>
      </c>
      <c r="C35" s="84">
        <f t="shared" si="9"/>
        <v>0</v>
      </c>
      <c r="D35" s="84">
        <f t="shared" si="9"/>
        <v>0</v>
      </c>
      <c r="E35" s="84">
        <f t="shared" si="9"/>
        <v>0</v>
      </c>
      <c r="F35" s="84">
        <f t="shared" si="9"/>
        <v>0</v>
      </c>
      <c r="G35" s="84">
        <f t="shared" si="9"/>
        <v>0</v>
      </c>
      <c r="H35" s="84">
        <f>+H36+H37</f>
        <v>0</v>
      </c>
    </row>
    <row r="36" spans="1:8" ht="12.75">
      <c r="A36" s="83" t="s">
        <v>178</v>
      </c>
      <c r="B36" s="84"/>
      <c r="C36" s="84"/>
      <c r="D36" s="84"/>
      <c r="E36" s="84"/>
      <c r="F36" s="84"/>
      <c r="G36" s="84"/>
      <c r="H36" s="84"/>
    </row>
    <row r="37" spans="1:8" ht="12.75">
      <c r="A37" s="83" t="s">
        <v>179</v>
      </c>
      <c r="B37" s="84"/>
      <c r="C37" s="84"/>
      <c r="D37" s="84"/>
      <c r="E37" s="84"/>
      <c r="F37" s="84"/>
      <c r="G37" s="84"/>
      <c r="H37" s="84"/>
    </row>
    <row r="38" spans="1:8" ht="12.75">
      <c r="A38" s="83" t="s">
        <v>180</v>
      </c>
      <c r="B38" s="84">
        <f aca="true" t="shared" si="10" ref="B38:G38">+B25-B26-B27-B29-B30-B36</f>
        <v>20952333.619999997</v>
      </c>
      <c r="C38" s="84">
        <f t="shared" si="10"/>
        <v>27016654.560000002</v>
      </c>
      <c r="D38" s="84">
        <f t="shared" si="10"/>
        <v>7420678.33</v>
      </c>
      <c r="E38" s="84">
        <f t="shared" si="10"/>
        <v>36938736.28</v>
      </c>
      <c r="F38" s="84">
        <f>+F25-F26-F27-F29-F30-F36</f>
        <v>55579821.75999999</v>
      </c>
      <c r="G38" s="84">
        <f t="shared" si="10"/>
        <v>12236800</v>
      </c>
      <c r="H38" s="84">
        <f>+H25-H26-H27-H29-H30-H36</f>
        <v>12544800</v>
      </c>
    </row>
    <row r="39" spans="1:8" ht="12.75">
      <c r="A39" s="85" t="s">
        <v>181</v>
      </c>
      <c r="B39" s="86">
        <f aca="true" t="shared" si="11" ref="B39:H39">+B24+B38</f>
        <v>634808449.76</v>
      </c>
      <c r="C39" s="86">
        <f t="shared" si="11"/>
        <v>700628258.77</v>
      </c>
      <c r="D39" s="86">
        <f t="shared" si="11"/>
        <v>751930332.22</v>
      </c>
      <c r="E39" s="86">
        <f t="shared" si="11"/>
        <v>822244216.85</v>
      </c>
      <c r="F39" s="86">
        <f>+F24+F38</f>
        <v>870990011.83</v>
      </c>
      <c r="G39" s="86">
        <f t="shared" si="11"/>
        <v>863277378.79</v>
      </c>
      <c r="H39" s="86">
        <f t="shared" si="11"/>
        <v>880669075.5800002</v>
      </c>
    </row>
    <row r="40" spans="1:4" ht="12.75">
      <c r="A40" s="88"/>
      <c r="B40" s="89"/>
      <c r="C40" s="89"/>
      <c r="D40" s="89"/>
    </row>
    <row r="41" spans="1:8" ht="12.75">
      <c r="A41" s="81" t="s">
        <v>182</v>
      </c>
      <c r="B41" s="82" t="s">
        <v>223</v>
      </c>
      <c r="C41" s="82" t="s">
        <v>224</v>
      </c>
      <c r="D41" s="82" t="s">
        <v>225</v>
      </c>
      <c r="E41" s="82" t="s">
        <v>143</v>
      </c>
      <c r="F41" s="82" t="s">
        <v>144</v>
      </c>
      <c r="G41" s="82" t="s">
        <v>145</v>
      </c>
      <c r="H41" s="82" t="s">
        <v>251</v>
      </c>
    </row>
    <row r="42" spans="1:8" ht="12.75">
      <c r="A42" s="83" t="s">
        <v>183</v>
      </c>
      <c r="B42" s="84">
        <f aca="true" t="shared" si="12" ref="B42:H42">+B43+B44+B45</f>
        <v>578968231.42</v>
      </c>
      <c r="C42" s="84">
        <f t="shared" si="12"/>
        <v>621324036.46</v>
      </c>
      <c r="D42" s="84">
        <f t="shared" si="12"/>
        <v>661256949.31</v>
      </c>
      <c r="E42" s="84">
        <f t="shared" si="12"/>
        <v>754321807.49</v>
      </c>
      <c r="F42" s="84">
        <f t="shared" si="12"/>
        <v>767028744</v>
      </c>
      <c r="G42" s="84">
        <f t="shared" si="12"/>
        <v>783828630.256</v>
      </c>
      <c r="H42" s="84">
        <f t="shared" si="12"/>
        <v>802909254.6036801</v>
      </c>
    </row>
    <row r="43" spans="1:8" ht="12.75">
      <c r="A43" s="83" t="s">
        <v>184</v>
      </c>
      <c r="B43" s="84">
        <f>492570173.63-96273673.81</f>
        <v>396296499.82</v>
      </c>
      <c r="C43" s="84">
        <v>420189784.69</v>
      </c>
      <c r="D43" s="84">
        <f>421723947.74</f>
        <v>421723947.74</v>
      </c>
      <c r="E43" s="84">
        <f>'VARIAÇÃO DA DESPESA'!B7-123130192.51</f>
        <v>483014807.49</v>
      </c>
      <c r="F43" s="84">
        <f>'METAS ANUAIS DE DESPESA'!B3-143554000</f>
        <v>485018365</v>
      </c>
      <c r="G43" s="84">
        <f>'METAS ANUAIS DE DESPESA'!C3-157385000</f>
        <v>490987394.49750006</v>
      </c>
      <c r="H43" s="84">
        <f>'METAS ANUAIS DE DESPESA'!D3-167107000</f>
        <v>500716566.3324251</v>
      </c>
    </row>
    <row r="44" spans="1:8" ht="12.75">
      <c r="A44" s="83" t="s">
        <v>185</v>
      </c>
      <c r="B44" s="84">
        <f>'VARIAÇÃO DA DESPESA'!A22</f>
        <v>2020</v>
      </c>
      <c r="C44" s="84">
        <v>3877909.96</v>
      </c>
      <c r="D44" s="84">
        <f>2540608.95</f>
        <v>2540608.95</v>
      </c>
      <c r="E44" s="84">
        <f>'VARIAÇÃO DA DESPESA'!B24</f>
        <v>5100000</v>
      </c>
      <c r="F44" s="84">
        <f>'METAS ANUAIS DE DESPESA'!B4</f>
        <v>5953720</v>
      </c>
      <c r="G44" s="84">
        <f>'METAS ANUAIS DE DESPESA'!C4</f>
        <v>8088792</v>
      </c>
      <c r="H44" s="84">
        <f>'METAS ANUAIS DE DESPESA'!D4</f>
        <v>8897671.2</v>
      </c>
    </row>
    <row r="45" spans="1:8" ht="12.75">
      <c r="A45" s="83" t="s">
        <v>186</v>
      </c>
      <c r="B45" s="84">
        <v>182669711.6</v>
      </c>
      <c r="C45" s="84">
        <v>197256341.81</v>
      </c>
      <c r="D45" s="84">
        <f>236992392.62</f>
        <v>236992392.62</v>
      </c>
      <c r="E45" s="84">
        <f>'VARIAÇÃO DA DESPESA'!B41</f>
        <v>266207000</v>
      </c>
      <c r="F45" s="84">
        <f>'METAS ANUAIS DE DESPESA'!B5</f>
        <v>276056659</v>
      </c>
      <c r="G45" s="84">
        <f>'METAS ANUAIS DE DESPESA'!C5</f>
        <v>284752443.75850004</v>
      </c>
      <c r="H45" s="84">
        <f>'METAS ANUAIS DE DESPESA'!D5</f>
        <v>293295017.071255</v>
      </c>
    </row>
    <row r="46" spans="1:8" ht="12.75">
      <c r="A46" s="83" t="s">
        <v>187</v>
      </c>
      <c r="B46" s="84">
        <f aca="true" t="shared" si="13" ref="B46:H46">+B42-B44</f>
        <v>578966211.42</v>
      </c>
      <c r="C46" s="84">
        <f t="shared" si="13"/>
        <v>617446126.5</v>
      </c>
      <c r="D46" s="84">
        <f t="shared" si="13"/>
        <v>658716340.3599999</v>
      </c>
      <c r="E46" s="84">
        <f t="shared" si="13"/>
        <v>749221807.49</v>
      </c>
      <c r="F46" s="84">
        <f>+F42-F44</f>
        <v>761075024</v>
      </c>
      <c r="G46" s="84">
        <f t="shared" si="13"/>
        <v>775739838.256</v>
      </c>
      <c r="H46" s="84">
        <f t="shared" si="13"/>
        <v>794011583.4036801</v>
      </c>
    </row>
    <row r="47" spans="1:8" ht="12.75">
      <c r="A47" s="83" t="s">
        <v>188</v>
      </c>
      <c r="B47" s="84">
        <f aca="true" t="shared" si="14" ref="B47:H47">+B48+B49+B54</f>
        <v>42603262.39</v>
      </c>
      <c r="C47" s="84">
        <f t="shared" si="14"/>
        <v>58809638.760000005</v>
      </c>
      <c r="D47" s="84">
        <f t="shared" si="14"/>
        <v>59553239.75</v>
      </c>
      <c r="E47" s="84">
        <f t="shared" si="14"/>
        <v>76067400</v>
      </c>
      <c r="F47" s="84">
        <f t="shared" si="14"/>
        <v>133646256</v>
      </c>
      <c r="G47" s="84">
        <f t="shared" si="14"/>
        <v>96761369.7439999</v>
      </c>
      <c r="H47" s="84">
        <f t="shared" si="14"/>
        <v>82288745.39631987</v>
      </c>
    </row>
    <row r="48" spans="1:8" ht="12.75">
      <c r="A48" s="83" t="s">
        <v>189</v>
      </c>
      <c r="B48" s="84">
        <v>21024488.24</v>
      </c>
      <c r="C48" s="84">
        <v>33123870.51</v>
      </c>
      <c r="D48" s="84">
        <f>37742115.72</f>
        <v>37742115.72</v>
      </c>
      <c r="E48" s="84">
        <f>'VARIAÇÃO DA DESPESA'!B58</f>
        <v>48278000</v>
      </c>
      <c r="F48" s="84">
        <f>'METAS ANUAIS DE DESPESA'!B7</f>
        <v>103972860</v>
      </c>
      <c r="G48" s="84">
        <f>'METAS ANUAIS DE DESPESA'!C7</f>
        <v>57553934.143999904</v>
      </c>
      <c r="H48" s="84">
        <f>'METAS ANUAIS DE DESPESA'!D7</f>
        <v>40107921.23631987</v>
      </c>
    </row>
    <row r="49" spans="1:8" ht="12.75">
      <c r="A49" s="83" t="s">
        <v>190</v>
      </c>
      <c r="B49" s="84">
        <f aca="true" t="shared" si="15" ref="B49:H49">+B50+B51+B52+B53</f>
        <v>33140</v>
      </c>
      <c r="C49" s="84">
        <f t="shared" si="15"/>
        <v>10494</v>
      </c>
      <c r="D49" s="84">
        <f t="shared" si="15"/>
        <v>0</v>
      </c>
      <c r="E49" s="84">
        <f t="shared" si="15"/>
        <v>31400</v>
      </c>
      <c r="F49" s="84">
        <f t="shared" si="15"/>
        <v>32500</v>
      </c>
      <c r="G49" s="84">
        <f t="shared" si="15"/>
        <v>33550</v>
      </c>
      <c r="H49" s="84">
        <f t="shared" si="15"/>
        <v>33550</v>
      </c>
    </row>
    <row r="50" spans="1:8" ht="12.75">
      <c r="A50" s="83" t="s">
        <v>191</v>
      </c>
      <c r="B50" s="84">
        <v>33140</v>
      </c>
      <c r="C50" s="84">
        <v>10494</v>
      </c>
      <c r="D50" s="84">
        <v>0</v>
      </c>
      <c r="E50" s="84">
        <f>'VARIAÇÃO DA DESPESA'!B75</f>
        <v>31400</v>
      </c>
      <c r="F50" s="84">
        <f>'METAS ANUAIS DE DESPESA'!B8</f>
        <v>32500</v>
      </c>
      <c r="G50" s="84">
        <f>'METAS ANUAIS DE DESPESA'!C8</f>
        <v>33550</v>
      </c>
      <c r="H50" s="84">
        <f>'METAS ANUAIS DE DESPESA'!D8</f>
        <v>33550</v>
      </c>
    </row>
    <row r="51" spans="1:8" ht="12.75">
      <c r="A51" s="83" t="s">
        <v>192</v>
      </c>
      <c r="B51" s="84"/>
      <c r="C51" s="84"/>
      <c r="D51" s="84"/>
      <c r="E51" s="84"/>
      <c r="F51" s="84"/>
      <c r="G51" s="84"/>
      <c r="H51" s="84"/>
    </row>
    <row r="52" spans="1:8" ht="12.75">
      <c r="A52" s="83" t="s">
        <v>193</v>
      </c>
      <c r="B52" s="84"/>
      <c r="C52" s="84"/>
      <c r="D52" s="84"/>
      <c r="E52" s="84"/>
      <c r="F52" s="84"/>
      <c r="G52" s="84"/>
      <c r="H52" s="84"/>
    </row>
    <row r="53" spans="1:8" ht="12.75">
      <c r="A53" s="83" t="s">
        <v>194</v>
      </c>
      <c r="B53" s="84"/>
      <c r="C53" s="84"/>
      <c r="D53" s="84"/>
      <c r="E53" s="84"/>
      <c r="F53" s="84"/>
      <c r="G53" s="84"/>
      <c r="H53" s="84"/>
    </row>
    <row r="54" spans="1:8" ht="12.75">
      <c r="A54" s="83" t="s">
        <v>195</v>
      </c>
      <c r="B54" s="84">
        <v>21545634.15</v>
      </c>
      <c r="C54" s="84">
        <v>25675274.25</v>
      </c>
      <c r="D54" s="84">
        <f>20573299.12+1237824.91</f>
        <v>21811124.03</v>
      </c>
      <c r="E54" s="84">
        <f>'VARIAÇÃO DA DESPESA'!B92</f>
        <v>27758000</v>
      </c>
      <c r="F54" s="84">
        <f>'METAS ANUAIS DE DESPESA'!B9</f>
        <v>29640896</v>
      </c>
      <c r="G54" s="84">
        <f>'METAS ANUAIS DE DESPESA'!C9</f>
        <v>39173885.6</v>
      </c>
      <c r="H54" s="84">
        <f>'METAS ANUAIS DE DESPESA'!D9</f>
        <v>42147274.16</v>
      </c>
    </row>
    <row r="55" spans="1:8" ht="12.75">
      <c r="A55" s="83" t="s">
        <v>196</v>
      </c>
      <c r="B55" s="84">
        <f aca="true" t="shared" si="16" ref="B55:H55">+B47-B50-B51-B52-B54</f>
        <v>21024488.240000002</v>
      </c>
      <c r="C55" s="84">
        <f t="shared" si="16"/>
        <v>33123870.510000005</v>
      </c>
      <c r="D55" s="84">
        <f t="shared" si="16"/>
        <v>37742115.72</v>
      </c>
      <c r="E55" s="84">
        <f t="shared" si="16"/>
        <v>48278000</v>
      </c>
      <c r="F55" s="84">
        <f t="shared" si="16"/>
        <v>103972860</v>
      </c>
      <c r="G55" s="84">
        <f t="shared" si="16"/>
        <v>57553934.1439999</v>
      </c>
      <c r="H55" s="84">
        <f t="shared" si="16"/>
        <v>40107921.23631987</v>
      </c>
    </row>
    <row r="56" spans="1:8" ht="12.75">
      <c r="A56" s="83" t="s">
        <v>197</v>
      </c>
      <c r="B56" s="84"/>
      <c r="C56" s="84"/>
      <c r="D56" s="84"/>
      <c r="E56" s="84"/>
      <c r="F56" s="84">
        <v>3850000</v>
      </c>
      <c r="G56" s="84">
        <v>4010000</v>
      </c>
      <c r="H56" s="84">
        <v>4100000</v>
      </c>
    </row>
    <row r="57" spans="1:8" ht="12.75">
      <c r="A57" s="85" t="s">
        <v>198</v>
      </c>
      <c r="B57" s="90">
        <f aca="true" t="shared" si="17" ref="B57:H57">+B46+B55+B56</f>
        <v>599990699.66</v>
      </c>
      <c r="C57" s="90">
        <f t="shared" si="17"/>
        <v>650569997.01</v>
      </c>
      <c r="D57" s="90">
        <f t="shared" si="17"/>
        <v>696458456.0799999</v>
      </c>
      <c r="E57" s="90">
        <f t="shared" si="17"/>
        <v>797499807.49</v>
      </c>
      <c r="F57" s="90">
        <f>+F46+F55+F56</f>
        <v>868897884</v>
      </c>
      <c r="G57" s="90">
        <f t="shared" si="17"/>
        <v>837303772.4</v>
      </c>
      <c r="H57" s="90">
        <f t="shared" si="17"/>
        <v>838219504.64</v>
      </c>
    </row>
    <row r="58" spans="1:8" ht="12.75">
      <c r="A58" s="91"/>
      <c r="F58" s="89"/>
      <c r="G58" s="89"/>
      <c r="H58" s="89"/>
    </row>
    <row r="59" spans="1:8" ht="12.75">
      <c r="A59" s="92" t="s">
        <v>226</v>
      </c>
      <c r="B59" s="90">
        <v>7579488.85</v>
      </c>
      <c r="C59" s="90">
        <v>6913094.79</v>
      </c>
      <c r="D59" s="90">
        <f>8501796.04+2029139.89</f>
        <v>10530935.93</v>
      </c>
      <c r="E59" s="90">
        <f>D59*1.0645</f>
        <v>11210181.297485</v>
      </c>
      <c r="F59" s="90"/>
      <c r="G59" s="90">
        <f>F59*1.0315</f>
        <v>0</v>
      </c>
      <c r="H59" s="90">
        <f>G59*1.03</f>
        <v>0</v>
      </c>
    </row>
    <row r="60" spans="1:8" ht="12.75">
      <c r="A60" s="91"/>
      <c r="F60" s="89"/>
      <c r="G60" s="89"/>
      <c r="H60" s="89"/>
    </row>
    <row r="61" spans="1:8" ht="12.75">
      <c r="A61" s="92" t="s">
        <v>199</v>
      </c>
      <c r="B61" s="90">
        <f aca="true" t="shared" si="18" ref="B61:H61">B39-B57-B59</f>
        <v>27238261.250000022</v>
      </c>
      <c r="C61" s="90">
        <f t="shared" si="18"/>
        <v>43145166.96999999</v>
      </c>
      <c r="D61" s="90">
        <f t="shared" si="18"/>
        <v>44940940.210000105</v>
      </c>
      <c r="E61" s="90">
        <f t="shared" si="18"/>
        <v>13534228.062515015</v>
      </c>
      <c r="F61" s="90">
        <f t="shared" si="18"/>
        <v>2092127.830000043</v>
      </c>
      <c r="G61" s="90">
        <f t="shared" si="18"/>
        <v>25973606.389999986</v>
      </c>
      <c r="H61" s="90">
        <f t="shared" si="18"/>
        <v>42449570.94000018</v>
      </c>
    </row>
    <row r="62" spans="1:8" ht="12.75">
      <c r="A62" s="91"/>
      <c r="F62" s="89"/>
      <c r="G62" s="89"/>
      <c r="H62" s="89"/>
    </row>
    <row r="63" spans="1:8" ht="12.75">
      <c r="A63" s="81" t="s">
        <v>126</v>
      </c>
      <c r="B63" s="82" t="s">
        <v>223</v>
      </c>
      <c r="C63" s="82" t="s">
        <v>224</v>
      </c>
      <c r="D63" s="82" t="s">
        <v>225</v>
      </c>
      <c r="E63" s="82" t="s">
        <v>143</v>
      </c>
      <c r="F63" s="82" t="s">
        <v>144</v>
      </c>
      <c r="G63" s="82" t="s">
        <v>145</v>
      </c>
      <c r="H63" s="82" t="s">
        <v>251</v>
      </c>
    </row>
    <row r="64" spans="1:8" ht="12.75">
      <c r="A64" s="83" t="s">
        <v>200</v>
      </c>
      <c r="B64" s="84">
        <v>41752892.05</v>
      </c>
      <c r="C64" s="84">
        <v>32695946.44</v>
      </c>
      <c r="D64" s="84">
        <v>7721115.84</v>
      </c>
      <c r="E64" s="84">
        <f>D64*1.0645</f>
        <v>8219127.81168</v>
      </c>
      <c r="F64" s="84">
        <f>E64*1.037</f>
        <v>8523235.54071216</v>
      </c>
      <c r="G64" s="84">
        <f>F64*1.0315</f>
        <v>8791717.460244592</v>
      </c>
      <c r="H64" s="84">
        <f>G64*1.03</f>
        <v>9055468.98405193</v>
      </c>
    </row>
    <row r="65" spans="1:8" ht="12.75">
      <c r="A65" s="83" t="s">
        <v>201</v>
      </c>
      <c r="B65" s="84"/>
      <c r="C65" s="84">
        <v>8508120.54</v>
      </c>
      <c r="D65" s="84">
        <v>8192847.07</v>
      </c>
      <c r="E65" s="84">
        <f>D65*1.0645</f>
        <v>8721285.706015</v>
      </c>
      <c r="F65" s="84">
        <f>E65*1.037</f>
        <v>9043973.277137555</v>
      </c>
      <c r="G65" s="84">
        <f>F65*1.0315</f>
        <v>9328858.435367389</v>
      </c>
      <c r="H65" s="84">
        <f>G65*1.03</f>
        <v>9608724.188428411</v>
      </c>
    </row>
    <row r="66" spans="1:8" ht="12.75">
      <c r="A66" s="88"/>
      <c r="F66" s="89"/>
      <c r="G66" s="89"/>
      <c r="H66" s="89"/>
    </row>
    <row r="67" spans="1:8" ht="12.75">
      <c r="A67" s="92" t="s">
        <v>202</v>
      </c>
      <c r="B67" s="90">
        <f aca="true" t="shared" si="19" ref="B67:H67">+B61+B64-B65</f>
        <v>68991153.30000001</v>
      </c>
      <c r="C67" s="90">
        <f t="shared" si="19"/>
        <v>67332992.87</v>
      </c>
      <c r="D67" s="90">
        <f>+D61+D64-D65</f>
        <v>44469208.9800001</v>
      </c>
      <c r="E67" s="90">
        <f t="shared" si="19"/>
        <v>13032070.168180017</v>
      </c>
      <c r="F67" s="90">
        <f t="shared" si="19"/>
        <v>1571390.0935746469</v>
      </c>
      <c r="G67" s="90">
        <f t="shared" si="19"/>
        <v>25436465.41487719</v>
      </c>
      <c r="H67" s="90">
        <f t="shared" si="19"/>
        <v>41896315.735623695</v>
      </c>
    </row>
    <row r="68" spans="1:4" ht="12.75">
      <c r="A68" s="93"/>
      <c r="B68" s="89"/>
      <c r="C68" s="89"/>
      <c r="D68" s="89"/>
    </row>
    <row r="69" spans="1:8" ht="12.75">
      <c r="A69" s="124" t="s">
        <v>203</v>
      </c>
      <c r="B69" s="124"/>
      <c r="C69" s="124"/>
      <c r="D69" s="124"/>
      <c r="E69" s="124"/>
      <c r="F69" s="124"/>
      <c r="G69" s="124"/>
      <c r="H69" s="124"/>
    </row>
    <row r="70" spans="1:4" ht="12.75">
      <c r="A70" s="94"/>
      <c r="B70" s="89"/>
      <c r="C70" s="89"/>
      <c r="D70" s="89"/>
    </row>
    <row r="71" spans="1:8" ht="12.75">
      <c r="A71" s="95" t="s">
        <v>204</v>
      </c>
      <c r="B71" s="82" t="s">
        <v>223</v>
      </c>
      <c r="C71" s="82" t="s">
        <v>224</v>
      </c>
      <c r="D71" s="82" t="s">
        <v>225</v>
      </c>
      <c r="E71" s="82" t="s">
        <v>143</v>
      </c>
      <c r="F71" s="82" t="s">
        <v>144</v>
      </c>
      <c r="G71" s="82" t="s">
        <v>145</v>
      </c>
      <c r="H71" s="82" t="s">
        <v>251</v>
      </c>
    </row>
    <row r="72" spans="1:8" ht="12.75">
      <c r="A72" s="96" t="s">
        <v>205</v>
      </c>
      <c r="B72" s="97">
        <f>'MONTANTE DA DÍVIDA PÚBLICA'!B2</f>
        <v>135992827.66</v>
      </c>
      <c r="C72" s="97">
        <f>'MONTANTE DA DÍVIDA PÚBLICA'!C2</f>
        <v>133856952.56</v>
      </c>
      <c r="D72" s="97">
        <f>'MONTANTE DA DÍVIDA PÚBLICA'!D2</f>
        <v>146631007.44</v>
      </c>
      <c r="E72" s="97">
        <f>'MONTANTE DA DÍVIDA PÚBLICA'!E2</f>
        <v>138873007.44</v>
      </c>
      <c r="F72" s="97">
        <f>'MONTANTE DA DÍVIDA PÚBLICA'!F2</f>
        <v>139873007.44</v>
      </c>
      <c r="G72" s="97">
        <f>'MONTANTE DA DÍVIDA PÚBLICA'!G2</f>
        <v>123200007.44</v>
      </c>
      <c r="H72" s="97">
        <f>'MONTANTE DA DÍVIDA PÚBLICA'!H2</f>
        <v>86060007.44</v>
      </c>
    </row>
    <row r="73" spans="1:8" ht="12.75">
      <c r="A73" s="96" t="s">
        <v>206</v>
      </c>
      <c r="B73" s="97">
        <f aca="true" t="shared" si="20" ref="B73:H73">B74+B78</f>
        <v>127516900.16</v>
      </c>
      <c r="C73" s="97">
        <f t="shared" si="20"/>
        <v>160164580.77</v>
      </c>
      <c r="D73" s="97">
        <f t="shared" si="20"/>
        <v>209931845.85</v>
      </c>
      <c r="E73" s="97">
        <f>E74+E78</f>
        <v>172130482.76700002</v>
      </c>
      <c r="F73" s="97">
        <f t="shared" si="20"/>
        <v>175539092.42234</v>
      </c>
      <c r="G73" s="97">
        <f t="shared" si="20"/>
        <v>178137957.80867508</v>
      </c>
      <c r="H73" s="97">
        <f t="shared" si="20"/>
        <v>180777937.21080518</v>
      </c>
    </row>
    <row r="74" spans="1:8" ht="12.75">
      <c r="A74" s="96" t="s">
        <v>207</v>
      </c>
      <c r="B74" s="97">
        <f>B75-B76</f>
        <v>98720038.56</v>
      </c>
      <c r="C74" s="97">
        <f>C75-C76</f>
        <v>130450547.30000001</v>
      </c>
      <c r="D74" s="97">
        <f>D75-D76</f>
        <v>181602097.34</v>
      </c>
      <c r="E74" s="97">
        <f>E75-E76-E77</f>
        <v>143234139.28680003</v>
      </c>
      <c r="F74" s="97">
        <f>F75-F76-F77</f>
        <v>146064822.072536</v>
      </c>
      <c r="G74" s="97">
        <f>G75-G76-G77</f>
        <v>148221573.40362403</v>
      </c>
      <c r="H74" s="97">
        <f>H75-H76-H77</f>
        <v>150412807.03967836</v>
      </c>
    </row>
    <row r="75" spans="1:8" ht="12.75">
      <c r="A75" s="96" t="s">
        <v>208</v>
      </c>
      <c r="B75" s="97">
        <f>'MONTANTE DA DÍVIDA PÚBLICA'!B6</f>
        <v>119922931.25</v>
      </c>
      <c r="C75" s="97">
        <f>'MONTANTE DA DÍVIDA PÚBLICA'!C6</f>
        <v>160352328.65</v>
      </c>
      <c r="D75" s="97">
        <f>'MONTANTE DA DÍVIDA PÚBLICA'!D6</f>
        <v>216216340</v>
      </c>
      <c r="E75" s="97">
        <f>'MONTANTE DA DÍVIDA PÚBLICA'!E6</f>
        <v>180540666.8</v>
      </c>
      <c r="F75" s="97">
        <f>'MONTANTE DA DÍVIDA PÚBLICA'!F6</f>
        <v>184151480.136</v>
      </c>
      <c r="G75" s="97">
        <f>'MONTANTE DA DÍVIDA PÚBLICA'!G6</f>
        <v>186913752.33804</v>
      </c>
      <c r="H75" s="97">
        <f>'MONTANTE DA DÍVIDA PÚBLICA'!H6</f>
        <v>189717458.62311056</v>
      </c>
    </row>
    <row r="76" spans="1:8" ht="12.75">
      <c r="A76" s="96" t="s">
        <v>209</v>
      </c>
      <c r="B76" s="97">
        <f>'MONTANTE DA DÍVIDA PÚBLICA'!B8</f>
        <v>21202892.69</v>
      </c>
      <c r="C76" s="97">
        <f>'MONTANTE DA DÍVIDA PÚBLICA'!C8</f>
        <v>29901781.35</v>
      </c>
      <c r="D76" s="97">
        <f>'MONTANTE DA DÍVIDA PÚBLICA'!D8</f>
        <v>34614242.66</v>
      </c>
      <c r="E76" s="97">
        <f>'MONTANTE DA DÍVIDA PÚBLICA'!E8</f>
        <v>35306527.5132</v>
      </c>
      <c r="F76" s="97">
        <f>'MONTANTE DA DÍVIDA PÚBLICA'!F8</f>
        <v>36012658.063464</v>
      </c>
      <c r="G76" s="97">
        <f>'MONTANTE DA DÍVIDA PÚBLICA'!G8</f>
        <v>36552847.93441596</v>
      </c>
      <c r="H76" s="97">
        <f>'MONTANTE DA DÍVIDA PÚBLICA'!H8</f>
        <v>37101140.6534322</v>
      </c>
    </row>
    <row r="77" spans="1:8" ht="12.75">
      <c r="A77" s="96" t="s">
        <v>252</v>
      </c>
      <c r="B77" s="97"/>
      <c r="C77" s="97"/>
      <c r="D77" s="97"/>
      <c r="E77" s="97">
        <f>'MONTANTE DA DÍVIDA PÚBLICA'!E9</f>
        <v>2000000</v>
      </c>
      <c r="F77" s="97">
        <f>'MONTANTE DA DÍVIDA PÚBLICA'!F9</f>
        <v>2073999.9999999998</v>
      </c>
      <c r="G77" s="97">
        <f>'MONTANTE DA DÍVIDA PÚBLICA'!G9</f>
        <v>2139331</v>
      </c>
      <c r="H77" s="97">
        <f>'MONTANTE DA DÍVIDA PÚBLICA'!H9</f>
        <v>2203510.93</v>
      </c>
    </row>
    <row r="78" spans="1:8" ht="12.75">
      <c r="A78" s="96" t="s">
        <v>210</v>
      </c>
      <c r="B78" s="97">
        <f>'MONTANTE DA DÍVIDA PÚBLICA'!B7</f>
        <v>28796861.6</v>
      </c>
      <c r="C78" s="97">
        <f>'MONTANTE DA DÍVIDA PÚBLICA'!C7</f>
        <v>29714033.47</v>
      </c>
      <c r="D78" s="97">
        <f>'MONTANTE DA DÍVIDA PÚBLICA'!D7</f>
        <v>28329748.51</v>
      </c>
      <c r="E78" s="97">
        <f>'MONTANTE DA DÍVIDA PÚBLICA'!E7</f>
        <v>28896343.480200004</v>
      </c>
      <c r="F78" s="97">
        <f>'MONTANTE DA DÍVIDA PÚBLICA'!F7</f>
        <v>29474270.349804003</v>
      </c>
      <c r="G78" s="97">
        <f>'MONTANTE DA DÍVIDA PÚBLICA'!G7</f>
        <v>29916384.40505106</v>
      </c>
      <c r="H78" s="97">
        <f>'MONTANTE DA DÍVIDA PÚBLICA'!H7</f>
        <v>30365130.171126824</v>
      </c>
    </row>
    <row r="79" spans="1:8" ht="12.75">
      <c r="A79" s="96" t="s">
        <v>211</v>
      </c>
      <c r="B79" s="97">
        <f aca="true" t="shared" si="21" ref="B79:H79">B72-B73</f>
        <v>8475927.5</v>
      </c>
      <c r="C79" s="97">
        <f t="shared" si="21"/>
        <v>-26307628.21000001</v>
      </c>
      <c r="D79" s="97">
        <f t="shared" si="21"/>
        <v>-63300838.41</v>
      </c>
      <c r="E79" s="97">
        <f>E72-E73</f>
        <v>-33257475.327000022</v>
      </c>
      <c r="F79" s="97">
        <f t="shared" si="21"/>
        <v>-35666084.98234001</v>
      </c>
      <c r="G79" s="97">
        <f t="shared" si="21"/>
        <v>-54937950.36867508</v>
      </c>
      <c r="H79" s="97">
        <f t="shared" si="21"/>
        <v>-94717929.77080518</v>
      </c>
    </row>
    <row r="80" spans="1:8" s="87" customFormat="1" ht="13.5" customHeight="1">
      <c r="A80" s="96" t="s">
        <v>227</v>
      </c>
      <c r="B80" s="97"/>
      <c r="C80" s="97"/>
      <c r="D80" s="97"/>
      <c r="E80" s="98"/>
      <c r="F80" s="98"/>
      <c r="G80" s="98"/>
      <c r="H80" s="98"/>
    </row>
    <row r="81" spans="1:8" ht="12.75">
      <c r="A81" s="99" t="s">
        <v>212</v>
      </c>
      <c r="B81" s="90">
        <f>8046515.48-8475927.5</f>
        <v>-429412.01999999955</v>
      </c>
      <c r="C81" s="90">
        <f aca="true" t="shared" si="22" ref="C81:H81">B79-C79</f>
        <v>34783555.71000001</v>
      </c>
      <c r="D81" s="90">
        <f t="shared" si="22"/>
        <v>36993210.19999999</v>
      </c>
      <c r="E81" s="90">
        <f t="shared" si="22"/>
        <v>-30043363.082999974</v>
      </c>
      <c r="F81" s="90">
        <f t="shared" si="22"/>
        <v>2408609.655339986</v>
      </c>
      <c r="G81" s="90">
        <f t="shared" si="22"/>
        <v>19271865.386335075</v>
      </c>
      <c r="H81" s="90">
        <f t="shared" si="22"/>
        <v>39779979.4021301</v>
      </c>
    </row>
    <row r="82" spans="1:4" ht="12.75">
      <c r="A82" s="100"/>
      <c r="B82" s="89"/>
      <c r="C82" s="89"/>
      <c r="D82" s="89"/>
    </row>
    <row r="83" spans="1:8" ht="12.75">
      <c r="A83" s="95" t="s">
        <v>213</v>
      </c>
      <c r="B83" s="82" t="s">
        <v>223</v>
      </c>
      <c r="C83" s="82" t="s">
        <v>224</v>
      </c>
      <c r="D83" s="82" t="s">
        <v>225</v>
      </c>
      <c r="E83" s="82" t="s">
        <v>143</v>
      </c>
      <c r="F83" s="82" t="s">
        <v>144</v>
      </c>
      <c r="G83" s="82" t="s">
        <v>145</v>
      </c>
      <c r="H83" s="82" t="s">
        <v>251</v>
      </c>
    </row>
    <row r="84" spans="1:8" ht="12.75">
      <c r="A84" s="96" t="s">
        <v>214</v>
      </c>
      <c r="B84" s="84">
        <f>1473884.04-B85</f>
        <v>-19729008.650000002</v>
      </c>
      <c r="C84" s="84">
        <f aca="true" t="shared" si="23" ref="C84:H84">B85-C85</f>
        <v>-8698888.66</v>
      </c>
      <c r="D84" s="84">
        <f t="shared" si="23"/>
        <v>-4712461.309999995</v>
      </c>
      <c r="E84" s="84">
        <f t="shared" si="23"/>
        <v>-692284.8532000035</v>
      </c>
      <c r="F84" s="84">
        <f t="shared" si="23"/>
        <v>-706130.5502640009</v>
      </c>
      <c r="G84" s="84">
        <f t="shared" si="23"/>
        <v>-540189.870951958</v>
      </c>
      <c r="H84" s="84">
        <f t="shared" si="23"/>
        <v>-548292.719016239</v>
      </c>
    </row>
    <row r="85" spans="1:8" ht="12.75">
      <c r="A85" s="96" t="s">
        <v>215</v>
      </c>
      <c r="B85" s="84">
        <f aca="true" t="shared" si="24" ref="B85:H85">B76</f>
        <v>21202892.69</v>
      </c>
      <c r="C85" s="84">
        <f t="shared" si="24"/>
        <v>29901781.35</v>
      </c>
      <c r="D85" s="84">
        <f>D76</f>
        <v>34614242.66</v>
      </c>
      <c r="E85" s="84">
        <f t="shared" si="24"/>
        <v>35306527.5132</v>
      </c>
      <c r="F85" s="84">
        <f t="shared" si="24"/>
        <v>36012658.063464</v>
      </c>
      <c r="G85" s="84">
        <f t="shared" si="24"/>
        <v>36552847.93441596</v>
      </c>
      <c r="H85" s="84">
        <f t="shared" si="24"/>
        <v>37101140.6534322</v>
      </c>
    </row>
    <row r="86" spans="1:8" ht="12.75">
      <c r="A86" s="96" t="s">
        <v>216</v>
      </c>
      <c r="B86" s="84"/>
      <c r="C86" s="84"/>
      <c r="D86" s="84"/>
      <c r="E86" s="84"/>
      <c r="F86" s="84"/>
      <c r="G86" s="84"/>
      <c r="H86" s="84"/>
    </row>
    <row r="87" spans="1:8" ht="12.75">
      <c r="A87" s="96" t="s">
        <v>217</v>
      </c>
      <c r="B87" s="84"/>
      <c r="C87" s="84"/>
      <c r="D87" s="84"/>
      <c r="E87" s="84"/>
      <c r="F87" s="84"/>
      <c r="G87" s="84"/>
      <c r="H87" s="84"/>
    </row>
    <row r="88" spans="1:8" ht="12.75">
      <c r="A88" s="96" t="s">
        <v>218</v>
      </c>
      <c r="B88" s="84"/>
      <c r="C88" s="84"/>
      <c r="D88" s="84"/>
      <c r="E88" s="84"/>
      <c r="F88" s="84"/>
      <c r="G88" s="84"/>
      <c r="H88" s="84"/>
    </row>
    <row r="89" spans="1:8" ht="12.75">
      <c r="A89" s="96" t="s">
        <v>219</v>
      </c>
      <c r="B89" s="84"/>
      <c r="C89" s="84"/>
      <c r="D89" s="84"/>
      <c r="E89" s="84"/>
      <c r="F89" s="84"/>
      <c r="G89" s="84"/>
      <c r="H89" s="84"/>
    </row>
    <row r="90" spans="1:8" ht="12.75">
      <c r="A90" s="96" t="s">
        <v>220</v>
      </c>
      <c r="B90" s="84"/>
      <c r="C90" s="84"/>
      <c r="D90" s="84"/>
      <c r="E90" s="84"/>
      <c r="F90" s="84"/>
      <c r="G90" s="84"/>
      <c r="H90" s="84"/>
    </row>
    <row r="91" spans="1:8" ht="22.5">
      <c r="A91" s="101" t="s">
        <v>221</v>
      </c>
      <c r="B91" s="90">
        <f aca="true" t="shared" si="25" ref="B91:H91">B81-B84-B86+B87+B88-B89+B90</f>
        <v>19299596.630000003</v>
      </c>
      <c r="C91" s="90">
        <f>C81-C84-C86+C87+C88-C89+C90</f>
        <v>43482444.370000005</v>
      </c>
      <c r="D91" s="90">
        <f>D81-D84</f>
        <v>41705671.50999998</v>
      </c>
      <c r="E91" s="90">
        <f t="shared" si="25"/>
        <v>-29351078.22979997</v>
      </c>
      <c r="F91" s="90">
        <f t="shared" si="25"/>
        <v>3114740.205603987</v>
      </c>
      <c r="G91" s="90">
        <f t="shared" si="25"/>
        <v>19812055.257287033</v>
      </c>
      <c r="H91" s="90">
        <f t="shared" si="25"/>
        <v>40328272.121146336</v>
      </c>
    </row>
    <row r="92" ht="12.75">
      <c r="A92" s="93"/>
    </row>
    <row r="93" spans="1:8" ht="12.75">
      <c r="A93" s="92" t="s">
        <v>222</v>
      </c>
      <c r="B93" s="90">
        <f>B91-B64</f>
        <v>-22453295.419999994</v>
      </c>
      <c r="C93" s="90">
        <f aca="true" t="shared" si="26" ref="C93:H93">C91+C65-C64</f>
        <v>19294618.470000003</v>
      </c>
      <c r="D93" s="90">
        <f t="shared" si="26"/>
        <v>42177402.73999998</v>
      </c>
      <c r="E93" s="90">
        <f t="shared" si="26"/>
        <v>-28848920.335464973</v>
      </c>
      <c r="F93" s="90">
        <f t="shared" si="26"/>
        <v>3635477.942029383</v>
      </c>
      <c r="G93" s="90">
        <f t="shared" si="26"/>
        <v>20349196.23240983</v>
      </c>
      <c r="H93" s="90">
        <f t="shared" si="26"/>
        <v>40881527.32552282</v>
      </c>
    </row>
    <row r="94" spans="1:6" ht="12.75">
      <c r="A94" s="67" t="s">
        <v>112</v>
      </c>
      <c r="E94" s="17"/>
      <c r="F94" s="17"/>
    </row>
  </sheetData>
  <sheetProtection/>
  <mergeCells count="2">
    <mergeCell ref="A1:H1"/>
    <mergeCell ref="A69:H69"/>
  </mergeCells>
  <printOptions horizontalCentered="1"/>
  <pageMargins left="0.3937007874015748" right="0.3937007874015748" top="1.6929133858267718" bottom="0.5905511811023623" header="0.5118110236220472" footer="0.31496062992125984"/>
  <pageSetup horizontalDpi="600" verticalDpi="600" orientation="landscape" paperSize="9" r:id="rId1"/>
  <headerFooter alignWithMargins="0">
    <oddHeader>&amp;CMEMÓRIA E METODOLOGIA III        
Prefeitura Municipal de Santa Maria       
Lei de Diretrizes Orçamentárias       
Memória e Metodologia de Cálculo       
METAS ANUAIS PARA O RESULTADO PRIMÁRIO       
2023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16" sqref="D16"/>
    </sheetView>
  </sheetViews>
  <sheetFormatPr defaultColWidth="11.140625" defaultRowHeight="12.75"/>
  <cols>
    <col min="1" max="1" width="36.140625" style="1" customWidth="1"/>
    <col min="2" max="2" width="12.8515625" style="1" customWidth="1"/>
    <col min="3" max="3" width="13.00390625" style="1" customWidth="1"/>
    <col min="4" max="4" width="14.140625" style="1" customWidth="1"/>
    <col min="5" max="5" width="13.00390625" style="1" customWidth="1"/>
    <col min="6" max="6" width="12.57421875" style="1" customWidth="1"/>
    <col min="7" max="7" width="13.140625" style="1" customWidth="1"/>
    <col min="8" max="8" width="12.28125" style="1" bestFit="1" customWidth="1"/>
    <col min="9" max="16384" width="11.140625" style="1" customWidth="1"/>
  </cols>
  <sheetData>
    <row r="1" spans="1:8" ht="12.75">
      <c r="A1" s="125" t="s">
        <v>50</v>
      </c>
      <c r="B1" s="65">
        <v>2019</v>
      </c>
      <c r="C1" s="65">
        <v>2020</v>
      </c>
      <c r="D1" s="65">
        <v>2021</v>
      </c>
      <c r="E1" s="65">
        <v>2022</v>
      </c>
      <c r="F1" s="65">
        <v>2023</v>
      </c>
      <c r="G1" s="65">
        <v>2024</v>
      </c>
      <c r="H1" s="65">
        <v>2025</v>
      </c>
    </row>
    <row r="2" spans="1:8" ht="12.75">
      <c r="A2" s="125"/>
      <c r="B2" s="65" t="s">
        <v>81</v>
      </c>
      <c r="C2" s="65" t="s">
        <v>82</v>
      </c>
      <c r="D2" s="65" t="s">
        <v>83</v>
      </c>
      <c r="E2" s="65" t="s">
        <v>84</v>
      </c>
      <c r="F2" s="65" t="s">
        <v>85</v>
      </c>
      <c r="G2" s="65" t="s">
        <v>86</v>
      </c>
      <c r="H2" s="65" t="s">
        <v>87</v>
      </c>
    </row>
    <row r="3" spans="1:8" ht="18" customHeight="1">
      <c r="A3" s="29" t="s">
        <v>88</v>
      </c>
      <c r="B3" s="26">
        <f>'MONTANTE DA DÍVIDA PÚBLICA'!B2</f>
        <v>135992827.66</v>
      </c>
      <c r="C3" s="26">
        <f>'MONTANTE DA DÍVIDA PÚBLICA'!C2</f>
        <v>133856952.56</v>
      </c>
      <c r="D3" s="26">
        <f>'MONTANTE DA DÍVIDA PÚBLICA'!D2</f>
        <v>146631007.44</v>
      </c>
      <c r="E3" s="26">
        <f>'MONTANTE DA DÍVIDA PÚBLICA'!E2</f>
        <v>138873007.44</v>
      </c>
      <c r="F3" s="26">
        <f>'MONTANTE DA DÍVIDA PÚBLICA'!F2</f>
        <v>139873007.44</v>
      </c>
      <c r="G3" s="26">
        <f>'MONTANTE DA DÍVIDA PÚBLICA'!G2</f>
        <v>123200007.44</v>
      </c>
      <c r="H3" s="26">
        <f>'MONTANTE DA DÍVIDA PÚBLICA'!H2</f>
        <v>86060007.44</v>
      </c>
    </row>
    <row r="4" spans="1:8" ht="18" customHeight="1">
      <c r="A4" s="29" t="s">
        <v>56</v>
      </c>
      <c r="B4" s="26">
        <f>B5+B6-B7+B9</f>
        <v>127516900.16</v>
      </c>
      <c r="C4" s="26">
        <f>C5+C6-C7+C9</f>
        <v>160164580.77</v>
      </c>
      <c r="D4" s="26">
        <f>D5+D6-D7</f>
        <v>209931845.85</v>
      </c>
      <c r="E4" s="26">
        <f>E5+E6-E7-E8</f>
        <v>172130482.76700002</v>
      </c>
      <c r="F4" s="26">
        <f>F5+F6-F7-F8</f>
        <v>175539092.42234004</v>
      </c>
      <c r="G4" s="26">
        <f>G5+G6-G7-G8</f>
        <v>178137957.80867508</v>
      </c>
      <c r="H4" s="26">
        <f>H5+H6-H7-H8</f>
        <v>180777937.21080518</v>
      </c>
    </row>
    <row r="5" spans="1:8" ht="18" customHeight="1">
      <c r="A5" s="31" t="s">
        <v>89</v>
      </c>
      <c r="B5" s="26">
        <f>'MONTANTE DA DÍVIDA PÚBLICA'!B6</f>
        <v>119922931.25</v>
      </c>
      <c r="C5" s="26">
        <f>'MONTANTE DA DÍVIDA PÚBLICA'!C6</f>
        <v>160352328.65</v>
      </c>
      <c r="D5" s="26">
        <f>'MONTANTE DA DÍVIDA PÚBLICA'!D6</f>
        <v>216216340</v>
      </c>
      <c r="E5" s="26">
        <f>'MONTANTE DA DÍVIDA PÚBLICA'!E6</f>
        <v>180540666.8</v>
      </c>
      <c r="F5" s="26">
        <f>'MONTANTE DA DÍVIDA PÚBLICA'!F6</f>
        <v>184151480.136</v>
      </c>
      <c r="G5" s="26">
        <f>'MONTANTE DA DÍVIDA PÚBLICA'!G6</f>
        <v>186913752.33804</v>
      </c>
      <c r="H5" s="26">
        <f>'MONTANTE DA DÍVIDA PÚBLICA'!H6</f>
        <v>189717458.62311056</v>
      </c>
    </row>
    <row r="6" spans="1:8" ht="18" customHeight="1">
      <c r="A6" s="31" t="s">
        <v>90</v>
      </c>
      <c r="B6" s="26">
        <f>'MONTANTE DA DÍVIDA PÚBLICA'!B7</f>
        <v>28796861.6</v>
      </c>
      <c r="C6" s="26">
        <f>'MONTANTE DA DÍVIDA PÚBLICA'!C7</f>
        <v>29714033.47</v>
      </c>
      <c r="D6" s="26">
        <f>'MONTANTE DA DÍVIDA PÚBLICA'!D7</f>
        <v>28329748.51</v>
      </c>
      <c r="E6" s="26">
        <f>'MONTANTE DA DÍVIDA PÚBLICA'!E7</f>
        <v>28896343.480200004</v>
      </c>
      <c r="F6" s="26">
        <f>'MONTANTE DA DÍVIDA PÚBLICA'!F7</f>
        <v>29474270.349804003</v>
      </c>
      <c r="G6" s="26">
        <f>'MONTANTE DA DÍVIDA PÚBLICA'!G7</f>
        <v>29916384.40505106</v>
      </c>
      <c r="H6" s="26">
        <f>'MONTANTE DA DÍVIDA PÚBLICA'!H7</f>
        <v>30365130.171126824</v>
      </c>
    </row>
    <row r="7" spans="1:8" ht="18" customHeight="1">
      <c r="A7" s="31" t="s">
        <v>91</v>
      </c>
      <c r="B7" s="26">
        <f>'MONTANTE DA DÍVIDA PÚBLICA'!B8</f>
        <v>21202892.69</v>
      </c>
      <c r="C7" s="26">
        <f>'MONTANTE DA DÍVIDA PÚBLICA'!C8</f>
        <v>29901781.35</v>
      </c>
      <c r="D7" s="26">
        <f>'MONTANTE DA DÍVIDA PÚBLICA'!D8</f>
        <v>34614242.66</v>
      </c>
      <c r="E7" s="26">
        <f>'MONTANTE DA DÍVIDA PÚBLICA'!E8</f>
        <v>35306527.5132</v>
      </c>
      <c r="F7" s="26">
        <f>'MONTANTE DA DÍVIDA PÚBLICA'!F8</f>
        <v>36012658.063464</v>
      </c>
      <c r="G7" s="26">
        <f>'MONTANTE DA DÍVIDA PÚBLICA'!G8</f>
        <v>36552847.93441596</v>
      </c>
      <c r="H7" s="26">
        <f>'MONTANTE DA DÍVIDA PÚBLICA'!H8</f>
        <v>37101140.6534322</v>
      </c>
    </row>
    <row r="8" spans="1:8" ht="18" customHeight="1">
      <c r="A8" s="31" t="s">
        <v>253</v>
      </c>
      <c r="B8" s="26"/>
      <c r="C8" s="26"/>
      <c r="D8" s="26"/>
      <c r="E8" s="26">
        <f>'MONTANTE DA DÍVIDA PÚBLICA'!E9</f>
        <v>2000000</v>
      </c>
      <c r="F8" s="26">
        <f>'MONTANTE DA DÍVIDA PÚBLICA'!F9</f>
        <v>2073999.9999999998</v>
      </c>
      <c r="G8" s="26">
        <f>'MONTANTE DA DÍVIDA PÚBLICA'!G9</f>
        <v>2139331</v>
      </c>
      <c r="H8" s="26">
        <f>'MONTANTE DA DÍVIDA PÚBLICA'!H9</f>
        <v>2203510.93</v>
      </c>
    </row>
    <row r="9" spans="1:8" ht="18" customHeight="1">
      <c r="A9" s="29" t="s">
        <v>92</v>
      </c>
      <c r="B9" s="26"/>
      <c r="C9" s="26"/>
      <c r="D9" s="26"/>
      <c r="E9" s="26"/>
      <c r="F9" s="26"/>
      <c r="G9" s="26"/>
      <c r="H9" s="26"/>
    </row>
    <row r="10" spans="1:8" ht="18" customHeight="1">
      <c r="A10" s="29" t="s">
        <v>93</v>
      </c>
      <c r="B10" s="26">
        <f aca="true" t="shared" si="0" ref="B10:G10">B3-B4</f>
        <v>8475927.5</v>
      </c>
      <c r="C10" s="26">
        <f>C3-C4</f>
        <v>-26307628.21000001</v>
      </c>
      <c r="D10" s="26">
        <f t="shared" si="0"/>
        <v>-63300838.41</v>
      </c>
      <c r="E10" s="26">
        <f t="shared" si="0"/>
        <v>-33257475.327000022</v>
      </c>
      <c r="F10" s="26">
        <f t="shared" si="0"/>
        <v>-35666084.98234004</v>
      </c>
      <c r="G10" s="26">
        <f t="shared" si="0"/>
        <v>-54937950.36867508</v>
      </c>
      <c r="H10" s="26">
        <f>H3-H4</f>
        <v>-94717929.77080518</v>
      </c>
    </row>
    <row r="11" spans="1:8" ht="18" customHeight="1">
      <c r="A11" s="29" t="s">
        <v>94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ht="18" customHeight="1">
      <c r="A12" s="29" t="s">
        <v>95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18" customHeight="1">
      <c r="A13" s="29" t="s">
        <v>96</v>
      </c>
      <c r="B13" s="26">
        <f aca="true" t="shared" si="1" ref="B13:H13">B10+B11-B12</f>
        <v>8475927.5</v>
      </c>
      <c r="C13" s="26">
        <f t="shared" si="1"/>
        <v>-26307628.21000001</v>
      </c>
      <c r="D13" s="26">
        <f t="shared" si="1"/>
        <v>-63300838.41</v>
      </c>
      <c r="E13" s="26">
        <f t="shared" si="1"/>
        <v>-33257475.327000022</v>
      </c>
      <c r="F13" s="26">
        <f t="shared" si="1"/>
        <v>-35666084.98234004</v>
      </c>
      <c r="G13" s="26">
        <f t="shared" si="1"/>
        <v>-54937950.36867508</v>
      </c>
      <c r="H13" s="26">
        <f t="shared" si="1"/>
        <v>-94717929.77080518</v>
      </c>
    </row>
    <row r="14" spans="1:8" ht="12.75">
      <c r="A14" s="68"/>
      <c r="B14" s="69"/>
      <c r="C14" s="69"/>
      <c r="D14" s="69"/>
      <c r="E14" s="69"/>
      <c r="F14" s="69"/>
      <c r="G14" s="69"/>
      <c r="H14" s="70"/>
    </row>
    <row r="15" spans="1:8" ht="15" customHeight="1">
      <c r="A15" s="126" t="s">
        <v>97</v>
      </c>
      <c r="B15" s="66" t="s">
        <v>98</v>
      </c>
      <c r="C15" s="66" t="s">
        <v>135</v>
      </c>
      <c r="D15" s="66" t="s">
        <v>136</v>
      </c>
      <c r="E15" s="66" t="s">
        <v>137</v>
      </c>
      <c r="F15" s="66" t="s">
        <v>138</v>
      </c>
      <c r="G15" s="66" t="s">
        <v>139</v>
      </c>
      <c r="H15" s="66" t="s">
        <v>140</v>
      </c>
    </row>
    <row r="16" spans="1:8" ht="15" customHeight="1">
      <c r="A16" s="126"/>
      <c r="B16" s="30">
        <f>8046515.48-B13</f>
        <v>-429412.01999999955</v>
      </c>
      <c r="C16" s="30">
        <f aca="true" t="shared" si="2" ref="C16:H16">B13-C13</f>
        <v>34783555.71000001</v>
      </c>
      <c r="D16" s="30">
        <f t="shared" si="2"/>
        <v>36993210.19999999</v>
      </c>
      <c r="E16" s="30">
        <f t="shared" si="2"/>
        <v>-30043363.082999974</v>
      </c>
      <c r="F16" s="30">
        <f t="shared" si="2"/>
        <v>2408609.655340016</v>
      </c>
      <c r="G16" s="30">
        <f t="shared" si="2"/>
        <v>19271865.386335045</v>
      </c>
      <c r="H16" s="30">
        <f t="shared" si="2"/>
        <v>39779979.4021301</v>
      </c>
    </row>
    <row r="17" ht="9.75" customHeight="1"/>
    <row r="18" spans="1:8" s="73" customFormat="1" ht="15" customHeight="1">
      <c r="A18" s="80" t="s">
        <v>126</v>
      </c>
      <c r="B18" s="65">
        <v>2019</v>
      </c>
      <c r="C18" s="65">
        <v>2020</v>
      </c>
      <c r="D18" s="65">
        <v>2021</v>
      </c>
      <c r="E18" s="65">
        <v>2022</v>
      </c>
      <c r="F18" s="65">
        <v>2023</v>
      </c>
      <c r="G18" s="65">
        <v>2024</v>
      </c>
      <c r="H18" s="65">
        <v>2025</v>
      </c>
    </row>
    <row r="19" spans="1:8" s="73" customFormat="1" ht="15" customHeight="1">
      <c r="A19" s="74" t="s">
        <v>127</v>
      </c>
      <c r="B19" s="76">
        <f>'META DO RESULTADO PRIMÁRIO'!B64</f>
        <v>41752892.05</v>
      </c>
      <c r="C19" s="76">
        <f>'META DO RESULTADO PRIMÁRIO'!C64</f>
        <v>32695946.44</v>
      </c>
      <c r="D19" s="76">
        <f>'META DO RESULTADO PRIMÁRIO'!D64</f>
        <v>7721115.84</v>
      </c>
      <c r="E19" s="76">
        <f>'META DO RESULTADO PRIMÁRIO'!E64</f>
        <v>8219127.81168</v>
      </c>
      <c r="F19" s="76">
        <f>'META DO RESULTADO PRIMÁRIO'!F64</f>
        <v>8523235.54071216</v>
      </c>
      <c r="G19" s="76">
        <f>'META DO RESULTADO PRIMÁRIO'!G64</f>
        <v>8791717.460244592</v>
      </c>
      <c r="H19" s="76">
        <f>'META DO RESULTADO PRIMÁRIO'!H64</f>
        <v>9055468.98405193</v>
      </c>
    </row>
    <row r="20" spans="1:8" s="73" customFormat="1" ht="15" customHeight="1">
      <c r="A20" s="74" t="s">
        <v>128</v>
      </c>
      <c r="B20" s="75"/>
      <c r="C20" s="76">
        <f>'META DO RESULTADO PRIMÁRIO'!C65</f>
        <v>8508120.54</v>
      </c>
      <c r="D20" s="76">
        <f>'META DO RESULTADO PRIMÁRIO'!D65</f>
        <v>8192847.07</v>
      </c>
      <c r="E20" s="76">
        <f>'META DO RESULTADO PRIMÁRIO'!E65</f>
        <v>8721285.706015</v>
      </c>
      <c r="F20" s="76">
        <f>'META DO RESULTADO PRIMÁRIO'!F65</f>
        <v>9043973.277137555</v>
      </c>
      <c r="G20" s="76">
        <f>'META DO RESULTADO PRIMÁRIO'!G65</f>
        <v>9328858.435367389</v>
      </c>
      <c r="H20" s="76">
        <f>'META DO RESULTADO PRIMÁRIO'!H65</f>
        <v>9608724.188428411</v>
      </c>
    </row>
    <row r="21" spans="1:8" s="73" customFormat="1" ht="8.25" customHeight="1">
      <c r="A21" s="77"/>
      <c r="B21" s="78"/>
      <c r="C21" s="78"/>
      <c r="D21" s="78"/>
      <c r="E21" s="78"/>
      <c r="F21" s="79"/>
      <c r="G21" s="78"/>
      <c r="H21" s="78"/>
    </row>
    <row r="22" spans="1:8" s="73" customFormat="1" ht="15" customHeight="1">
      <c r="A22" s="74" t="s">
        <v>129</v>
      </c>
      <c r="B22" s="76">
        <f>'META DO RESULTADO PRIMÁRIO'!B61+'META DO RESULTADO PRIMÁRIO'!B64-'META DO RESULTADO PRIMÁRIO'!B65</f>
        <v>68991153.30000001</v>
      </c>
      <c r="C22" s="76">
        <f>'META DO RESULTADO PRIMÁRIO'!C61+'META DO RESULTADO PRIMÁRIO'!C64-'META DO RESULTADO PRIMÁRIO'!C65</f>
        <v>67332992.87</v>
      </c>
      <c r="D22" s="76">
        <f>'META DO RESULTADO PRIMÁRIO'!D61+'META DO RESULTADO PRIMÁRIO'!D64-'META DO RESULTADO PRIMÁRIO'!D65</f>
        <v>44469208.9800001</v>
      </c>
      <c r="E22" s="76">
        <f>'META DO RESULTADO PRIMÁRIO'!E61+'META DO RESULTADO PRIMÁRIO'!E64-'META DO RESULTADO PRIMÁRIO'!E65</f>
        <v>13032070.168180017</v>
      </c>
      <c r="F22" s="76">
        <f>'META DO RESULTADO PRIMÁRIO'!F61+'META DO RESULTADO PRIMÁRIO'!F64-'META DO RESULTADO PRIMÁRIO'!F65</f>
        <v>1571390.0935746469</v>
      </c>
      <c r="G22" s="76">
        <f>'META DO RESULTADO PRIMÁRIO'!G61+'META DO RESULTADO PRIMÁRIO'!G64-'META DO RESULTADO PRIMÁRIO'!G65</f>
        <v>25436465.41487719</v>
      </c>
      <c r="H22" s="76">
        <f>'META DO RESULTADO PRIMÁRIO'!H61+'META DO RESULTADO PRIMÁRIO'!H64-'META DO RESULTADO PRIMÁRIO'!H65</f>
        <v>41896315.735623695</v>
      </c>
    </row>
    <row r="23" spans="1:8" s="73" customFormat="1" ht="9.75" customHeight="1">
      <c r="A23" s="77"/>
      <c r="B23" s="78"/>
      <c r="C23" s="78"/>
      <c r="D23" s="78"/>
      <c r="E23" s="78"/>
      <c r="F23" s="79"/>
      <c r="G23" s="78"/>
      <c r="H23" s="78"/>
    </row>
    <row r="24" spans="1:8" s="73" customFormat="1" ht="15" customHeight="1">
      <c r="A24" s="74" t="s">
        <v>130</v>
      </c>
      <c r="B24" s="76">
        <f aca="true" t="shared" si="3" ref="B24:H24">B16</f>
        <v>-429412.01999999955</v>
      </c>
      <c r="C24" s="76">
        <f t="shared" si="3"/>
        <v>34783555.71000001</v>
      </c>
      <c r="D24" s="76">
        <f t="shared" si="3"/>
        <v>36993210.19999999</v>
      </c>
      <c r="E24" s="76">
        <f t="shared" si="3"/>
        <v>-30043363.082999974</v>
      </c>
      <c r="F24" s="76">
        <f t="shared" si="3"/>
        <v>2408609.655340016</v>
      </c>
      <c r="G24" s="76">
        <f t="shared" si="3"/>
        <v>19271865.386335045</v>
      </c>
      <c r="H24" s="76">
        <f t="shared" si="3"/>
        <v>39779979.4021301</v>
      </c>
    </row>
    <row r="25" spans="1:8" s="73" customFormat="1" ht="9" customHeight="1">
      <c r="A25" s="77"/>
      <c r="B25" s="78"/>
      <c r="C25" s="78"/>
      <c r="D25" s="78"/>
      <c r="E25" s="78"/>
      <c r="F25" s="79"/>
      <c r="G25" s="78"/>
      <c r="H25" s="78"/>
    </row>
    <row r="26" spans="1:8" s="73" customFormat="1" ht="15" customHeight="1">
      <c r="A26" s="80" t="s">
        <v>131</v>
      </c>
      <c r="B26" s="65">
        <v>2019</v>
      </c>
      <c r="C26" s="65">
        <v>2020</v>
      </c>
      <c r="D26" s="65">
        <v>2021</v>
      </c>
      <c r="E26" s="65">
        <v>2022</v>
      </c>
      <c r="F26" s="65">
        <v>2023</v>
      </c>
      <c r="G26" s="65">
        <v>2024</v>
      </c>
      <c r="H26" s="65">
        <v>2025</v>
      </c>
    </row>
    <row r="27" spans="1:8" s="73" customFormat="1" ht="15" customHeight="1">
      <c r="A27" s="74" t="s">
        <v>132</v>
      </c>
      <c r="B27" s="76">
        <f>'META DO RESULTADO PRIMÁRIO'!B84</f>
        <v>-19729008.650000002</v>
      </c>
      <c r="C27" s="76">
        <f>'META DO RESULTADO PRIMÁRIO'!B76-'META DO RESULTADO PRIMÁRIO'!C76</f>
        <v>-8698888.66</v>
      </c>
      <c r="D27" s="76">
        <f>'META DO RESULTADO PRIMÁRIO'!C76-'META DO RESULTADO PRIMÁRIO'!D76</f>
        <v>-4712461.309999995</v>
      </c>
      <c r="E27" s="76">
        <f>'META DO RESULTADO PRIMÁRIO'!D76-'META DO RESULTADO PRIMÁRIO'!E76</f>
        <v>-692284.8532000035</v>
      </c>
      <c r="F27" s="76">
        <f>'META DO RESULTADO PRIMÁRIO'!E76-'META DO RESULTADO PRIMÁRIO'!F76</f>
        <v>-706130.5502640009</v>
      </c>
      <c r="G27" s="76">
        <f>'META DO RESULTADO PRIMÁRIO'!F76-'META DO RESULTADO PRIMÁRIO'!G76</f>
        <v>-540189.870951958</v>
      </c>
      <c r="H27" s="76">
        <f>'META DO RESULTADO PRIMÁRIO'!G76-'META DO RESULTADO PRIMÁRIO'!H76</f>
        <v>-548292.719016239</v>
      </c>
    </row>
    <row r="28" spans="1:8" s="73" customFormat="1" ht="15" customHeight="1">
      <c r="A28" s="74" t="s">
        <v>133</v>
      </c>
      <c r="B28" s="76">
        <f aca="true" t="shared" si="4" ref="B28:H28">B24-B27</f>
        <v>19299596.630000003</v>
      </c>
      <c r="C28" s="76">
        <f t="shared" si="4"/>
        <v>43482444.370000005</v>
      </c>
      <c r="D28" s="76">
        <f t="shared" si="4"/>
        <v>41705671.50999998</v>
      </c>
      <c r="E28" s="76">
        <f t="shared" si="4"/>
        <v>-29351078.22979997</v>
      </c>
      <c r="F28" s="76">
        <f t="shared" si="4"/>
        <v>3114740.205604017</v>
      </c>
      <c r="G28" s="76">
        <f t="shared" si="4"/>
        <v>19812055.257287003</v>
      </c>
      <c r="H28" s="76">
        <f t="shared" si="4"/>
        <v>40328272.121146336</v>
      </c>
    </row>
    <row r="29" spans="1:8" s="73" customFormat="1" ht="15" customHeight="1">
      <c r="A29" s="77"/>
      <c r="B29" s="78"/>
      <c r="C29" s="78"/>
      <c r="D29" s="78"/>
      <c r="E29" s="78"/>
      <c r="F29" s="79"/>
      <c r="G29" s="78"/>
      <c r="H29" s="78"/>
    </row>
    <row r="30" spans="1:8" s="73" customFormat="1" ht="15" customHeight="1">
      <c r="A30" s="74" t="s">
        <v>134</v>
      </c>
      <c r="B30" s="76">
        <f>B28-B19</f>
        <v>-22453295.419999994</v>
      </c>
      <c r="C30" s="76">
        <f aca="true" t="shared" si="5" ref="C30:H30">C28+C20-C19</f>
        <v>19294618.470000003</v>
      </c>
      <c r="D30" s="76">
        <f t="shared" si="5"/>
        <v>42177402.73999998</v>
      </c>
      <c r="E30" s="76">
        <f t="shared" si="5"/>
        <v>-28848920.335464973</v>
      </c>
      <c r="F30" s="76">
        <f t="shared" si="5"/>
        <v>3635477.942029413</v>
      </c>
      <c r="G30" s="76">
        <f t="shared" si="5"/>
        <v>20349196.2324098</v>
      </c>
      <c r="H30" s="76">
        <f t="shared" si="5"/>
        <v>40881527.32552282</v>
      </c>
    </row>
    <row r="31" spans="1:8" ht="12.75">
      <c r="A31" s="116" t="s">
        <v>112</v>
      </c>
      <c r="B31" s="116"/>
      <c r="C31" s="116"/>
      <c r="D31" s="116"/>
      <c r="E31" s="116"/>
      <c r="F31" s="116"/>
      <c r="G31" s="116"/>
      <c r="H31" s="116"/>
    </row>
  </sheetData>
  <sheetProtection/>
  <mergeCells count="3">
    <mergeCell ref="A1:A2"/>
    <mergeCell ref="A15:A16"/>
    <mergeCell ref="A31:H31"/>
  </mergeCells>
  <printOptions horizontalCentered="1"/>
  <pageMargins left="0.3937007874015748" right="0.3937007874015748" top="1.6929133858267718" bottom="0.15748031496062992" header="0.4330708661417323" footer="0.2755905511811024"/>
  <pageSetup horizontalDpi="600" verticalDpi="600" orientation="landscape" paperSize="9" r:id="rId1"/>
  <headerFooter alignWithMargins="0">
    <oddHeader>&amp;CMEMÓRIA E METODOLOGIA IV      
Prefeitura Municipal de Santa Maria       
Lei de Diretrizes Orçamentárias       
Memória e Metodologia de Cálculo       
METAS ANUAIS PARA O RESULTADO NOMINAL       
2023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F21" sqref="F21"/>
    </sheetView>
  </sheetViews>
  <sheetFormatPr defaultColWidth="11.140625" defaultRowHeight="12.75"/>
  <cols>
    <col min="1" max="1" width="34.7109375" style="1" customWidth="1"/>
    <col min="2" max="8" width="13.28125" style="1" customWidth="1"/>
    <col min="9" max="16384" width="11.140625" style="1" customWidth="1"/>
  </cols>
  <sheetData>
    <row r="1" spans="1:256" ht="35.25" customHeight="1">
      <c r="A1" s="28" t="s">
        <v>50</v>
      </c>
      <c r="B1" s="65">
        <v>2019</v>
      </c>
      <c r="C1" s="65">
        <v>2020</v>
      </c>
      <c r="D1" s="65">
        <v>2021</v>
      </c>
      <c r="E1" s="65">
        <v>2022</v>
      </c>
      <c r="F1" s="65">
        <v>2023</v>
      </c>
      <c r="G1" s="65">
        <v>2024</v>
      </c>
      <c r="H1" s="65">
        <v>2025</v>
      </c>
      <c r="IV1"/>
    </row>
    <row r="2" spans="1:256" ht="16.5" customHeight="1">
      <c r="A2" s="29" t="s">
        <v>99</v>
      </c>
      <c r="B2" s="26">
        <f aca="true" t="shared" si="0" ref="B2:G2">B3+B4</f>
        <v>135992827.66</v>
      </c>
      <c r="C2" s="26">
        <f>C3+C4</f>
        <v>133856952.56</v>
      </c>
      <c r="D2" s="26">
        <f t="shared" si="0"/>
        <v>146631007.44</v>
      </c>
      <c r="E2" s="26">
        <f t="shared" si="0"/>
        <v>138873007.44</v>
      </c>
      <c r="F2" s="26">
        <f t="shared" si="0"/>
        <v>139873007.44</v>
      </c>
      <c r="G2" s="26">
        <f t="shared" si="0"/>
        <v>123200007.44</v>
      </c>
      <c r="H2" s="26">
        <f>H3+H4</f>
        <v>86060007.44</v>
      </c>
      <c r="IV2"/>
    </row>
    <row r="3" spans="1:256" ht="16.5" customHeight="1">
      <c r="A3" s="31" t="s">
        <v>100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V3"/>
    </row>
    <row r="4" spans="1:256" ht="16.5" customHeight="1">
      <c r="A4" s="31" t="s">
        <v>101</v>
      </c>
      <c r="B4" s="26">
        <v>135992827.66</v>
      </c>
      <c r="C4" s="26">
        <v>133856952.56</v>
      </c>
      <c r="D4" s="26">
        <v>146631007.44</v>
      </c>
      <c r="E4" s="26">
        <f>D4-'META DO RESULTADO PRIMÁRIO'!E54+20000000</f>
        <v>138873007.44</v>
      </c>
      <c r="F4" s="26">
        <f>E4+25000000-30000000+6000000</f>
        <v>139873007.44</v>
      </c>
      <c r="G4" s="26">
        <f>F4+12500000-39173000+10000000</f>
        <v>123200007.44</v>
      </c>
      <c r="H4" s="26">
        <f>G4-42140000+5000000</f>
        <v>86060007.44</v>
      </c>
      <c r="IV4"/>
    </row>
    <row r="5" spans="1:256" s="2" customFormat="1" ht="16.5" customHeight="1">
      <c r="A5" s="29" t="s">
        <v>102</v>
      </c>
      <c r="B5" s="30">
        <f>B6+B7-B8</f>
        <v>127516900.16</v>
      </c>
      <c r="C5" s="30">
        <f>C6+C7-C8</f>
        <v>160164580.77</v>
      </c>
      <c r="D5" s="30">
        <f>D6+D7-D8</f>
        <v>209931845.85</v>
      </c>
      <c r="E5" s="30">
        <f>E6+E7-E8-E9</f>
        <v>172130482.76700002</v>
      </c>
      <c r="F5" s="30">
        <f>F6+F7-F8-F9</f>
        <v>175539092.42234004</v>
      </c>
      <c r="G5" s="30">
        <f>G6+G7-G8-G9</f>
        <v>178137957.80867508</v>
      </c>
      <c r="H5" s="30">
        <f>H6+H7-H8-H9</f>
        <v>180777937.21080518</v>
      </c>
      <c r="IV5"/>
    </row>
    <row r="6" spans="1:256" ht="16.5" customHeight="1">
      <c r="A6" s="31" t="s">
        <v>89</v>
      </c>
      <c r="B6" s="26">
        <v>119922931.25</v>
      </c>
      <c r="C6" s="26">
        <v>160352328.65</v>
      </c>
      <c r="D6" s="26">
        <v>216216340</v>
      </c>
      <c r="E6" s="26">
        <v>180540666.8</v>
      </c>
      <c r="F6" s="26">
        <f>E6*1.02</f>
        <v>184151480.136</v>
      </c>
      <c r="G6" s="26">
        <f aca="true" t="shared" si="1" ref="G6:H8">F6*1.015</f>
        <v>186913752.33804</v>
      </c>
      <c r="H6" s="26">
        <f t="shared" si="1"/>
        <v>189717458.62311056</v>
      </c>
      <c r="IV6"/>
    </row>
    <row r="7" spans="1:256" ht="16.5" customHeight="1">
      <c r="A7" s="31" t="s">
        <v>90</v>
      </c>
      <c r="B7" s="26">
        <v>28796861.6</v>
      </c>
      <c r="C7" s="26">
        <v>29714033.47</v>
      </c>
      <c r="D7" s="26">
        <v>28329748.51</v>
      </c>
      <c r="E7" s="26">
        <f>D7*1.02</f>
        <v>28896343.480200004</v>
      </c>
      <c r="F7" s="26">
        <f>E7*1.02</f>
        <v>29474270.349804003</v>
      </c>
      <c r="G7" s="26">
        <f t="shared" si="1"/>
        <v>29916384.40505106</v>
      </c>
      <c r="H7" s="26">
        <f t="shared" si="1"/>
        <v>30365130.171126824</v>
      </c>
      <c r="IV7"/>
    </row>
    <row r="8" spans="1:256" ht="16.5" customHeight="1">
      <c r="A8" s="31" t="s">
        <v>254</v>
      </c>
      <c r="B8" s="26">
        <v>21202892.69</v>
      </c>
      <c r="C8" s="26">
        <v>29901781.35</v>
      </c>
      <c r="D8" s="26">
        <v>34614242.66</v>
      </c>
      <c r="E8" s="26">
        <f>D8*1.02</f>
        <v>35306527.5132</v>
      </c>
      <c r="F8" s="26">
        <f>E8*1.02</f>
        <v>36012658.063464</v>
      </c>
      <c r="G8" s="26">
        <f t="shared" si="1"/>
        <v>36552847.93441596</v>
      </c>
      <c r="H8" s="26">
        <f t="shared" si="1"/>
        <v>37101140.6534322</v>
      </c>
      <c r="IV8"/>
    </row>
    <row r="9" spans="1:256" ht="16.5" customHeight="1">
      <c r="A9" s="31" t="s">
        <v>253</v>
      </c>
      <c r="B9" s="26"/>
      <c r="C9" s="26"/>
      <c r="D9" s="26"/>
      <c r="E9" s="26">
        <v>2000000</v>
      </c>
      <c r="F9" s="26">
        <f>E9*1.037</f>
        <v>2073999.9999999998</v>
      </c>
      <c r="G9" s="26">
        <f>F9*1.0315</f>
        <v>2139331</v>
      </c>
      <c r="H9" s="26">
        <f>G9*1.03</f>
        <v>2203510.93</v>
      </c>
      <c r="IV9"/>
    </row>
    <row r="10" spans="1:256" ht="16.5" customHeight="1">
      <c r="A10" s="29" t="s">
        <v>92</v>
      </c>
      <c r="B10" s="26"/>
      <c r="C10" s="26"/>
      <c r="D10" s="26"/>
      <c r="E10" s="26"/>
      <c r="F10" s="26"/>
      <c r="G10" s="26"/>
      <c r="H10" s="26"/>
      <c r="IV10"/>
    </row>
    <row r="11" spans="1:256" ht="16.5" customHeight="1">
      <c r="A11" s="31" t="s">
        <v>103</v>
      </c>
      <c r="B11" s="26"/>
      <c r="C11" s="26"/>
      <c r="D11" s="26"/>
      <c r="E11" s="26"/>
      <c r="F11" s="26"/>
      <c r="G11" s="26"/>
      <c r="H11" s="26"/>
      <c r="IV11"/>
    </row>
    <row r="12" spans="1:256" s="2" customFormat="1" ht="16.5" customHeight="1">
      <c r="A12" s="29" t="s">
        <v>104</v>
      </c>
      <c r="B12" s="30">
        <f aca="true" t="shared" si="2" ref="B12:H12">B2-B5</f>
        <v>8475927.5</v>
      </c>
      <c r="C12" s="30">
        <f t="shared" si="2"/>
        <v>-26307628.21000001</v>
      </c>
      <c r="D12" s="30">
        <f t="shared" si="2"/>
        <v>-63300838.41</v>
      </c>
      <c r="E12" s="30">
        <f t="shared" si="2"/>
        <v>-33257475.327000022</v>
      </c>
      <c r="F12" s="30">
        <f t="shared" si="2"/>
        <v>-35666084.98234004</v>
      </c>
      <c r="G12" s="30">
        <f t="shared" si="2"/>
        <v>-54937950.36867508</v>
      </c>
      <c r="H12" s="30">
        <f t="shared" si="2"/>
        <v>-94717929.77080518</v>
      </c>
      <c r="IV12"/>
    </row>
    <row r="13" spans="1:9" ht="12.75">
      <c r="A13" s="116" t="s">
        <v>112</v>
      </c>
      <c r="B13" s="116"/>
      <c r="C13" s="116"/>
      <c r="D13" s="116"/>
      <c r="E13" s="116"/>
      <c r="F13" s="116"/>
      <c r="G13" s="116"/>
      <c r="H13" s="116"/>
      <c r="I13" s="4"/>
    </row>
  </sheetData>
  <sheetProtection/>
  <mergeCells count="1">
    <mergeCell ref="A13:H13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&amp;CMEMÓRIA E METODOLOGIA V        
Prefeitura Municipal de Santa Maria        
Lei de Diretrizes Orçamentárias        
Memória e Metodologia de Cálculo        
METAS ANUAIS PARA O MONTANTE DA DÍVIDA PÚBLICA        
2023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2022-04-19T17:56:20Z</cp:lastPrinted>
  <dcterms:created xsi:type="dcterms:W3CDTF">2005-08-10T14:30:36Z</dcterms:created>
  <dcterms:modified xsi:type="dcterms:W3CDTF">2022-05-04T12:49:10Z</dcterms:modified>
  <cp:category/>
  <cp:version/>
  <cp:contentType/>
  <cp:contentStatus/>
  <cp:revision>2</cp:revision>
</cp:coreProperties>
</file>